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izmgovlv-my.sharepoint.com/personal/iveta_grinberga_izm_gov_lv/Documents/Desktop/Pārstrādāts konceptuālais ziņojums/"/>
    </mc:Choice>
  </mc:AlternateContent>
  <xr:revisionPtr revIDLastSave="0" documentId="8_{6C97B3A5-B68D-46A7-A98F-A9218DC56673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2.pasākums" sheetId="2" r:id="rId1"/>
    <sheet name="5.pasākums" sheetId="5" r:id="rId2"/>
    <sheet name="6.pasākums" sheetId="6" r:id="rId3"/>
    <sheet name="7.pasākum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/>
  <c r="H14" i="2"/>
  <c r="I14" i="2"/>
  <c r="F14" i="2"/>
  <c r="F5" i="2" s="1"/>
  <c r="F7" i="2"/>
  <c r="G7" i="2"/>
  <c r="G6" i="2" s="1"/>
  <c r="G5" i="2" s="1"/>
  <c r="H7" i="2"/>
  <c r="H6" i="2" s="1"/>
  <c r="H5" i="2" s="1"/>
  <c r="I7" i="2"/>
  <c r="I6" i="2" s="1"/>
  <c r="I5" i="2" s="1"/>
  <c r="E7" i="2"/>
  <c r="G5" i="6"/>
  <c r="I15" i="6"/>
  <c r="H15" i="6"/>
  <c r="I14" i="6"/>
  <c r="H14" i="6"/>
  <c r="G14" i="6"/>
  <c r="F14" i="6"/>
  <c r="I13" i="6"/>
  <c r="H13" i="6"/>
  <c r="G13" i="6"/>
  <c r="F13" i="6"/>
  <c r="I12" i="6"/>
  <c r="H12" i="6"/>
  <c r="G12" i="6"/>
  <c r="F12" i="6"/>
  <c r="I11" i="6"/>
  <c r="H11" i="6"/>
  <c r="G11" i="6"/>
  <c r="I10" i="6"/>
  <c r="H10" i="6"/>
  <c r="G10" i="6"/>
  <c r="I9" i="6"/>
  <c r="H9" i="6"/>
  <c r="G9" i="6"/>
  <c r="F9" i="6"/>
  <c r="I8" i="6"/>
  <c r="H8" i="6"/>
  <c r="G8" i="6"/>
  <c r="F8" i="6"/>
  <c r="I7" i="6"/>
  <c r="H7" i="6"/>
  <c r="G7" i="6"/>
  <c r="F7" i="6"/>
  <c r="F6" i="2"/>
  <c r="E6" i="2"/>
  <c r="E5" i="2" s="1"/>
  <c r="E24" i="7"/>
  <c r="E23" i="7"/>
  <c r="D8" i="5"/>
  <c r="D10" i="5"/>
  <c r="D22" i="5"/>
  <c r="D17" i="5"/>
  <c r="D21" i="5"/>
  <c r="D20" i="5"/>
  <c r="D19" i="5"/>
  <c r="D16" i="5"/>
  <c r="D15" i="5"/>
  <c r="D14" i="5"/>
  <c r="D5" i="5"/>
  <c r="D6" i="5" s="1"/>
  <c r="F16" i="6" l="1"/>
  <c r="G16" i="6"/>
  <c r="H16" i="6"/>
  <c r="I16" i="6"/>
  <c r="F17" i="6"/>
  <c r="F6" i="6" s="1"/>
  <c r="F5" i="6" s="1"/>
  <c r="G17" i="6"/>
  <c r="G6" i="6" s="1"/>
  <c r="H17" i="6"/>
  <c r="H6" i="6"/>
  <c r="H5" i="6" s="1"/>
  <c r="I17" i="6"/>
  <c r="I6" i="6" s="1"/>
  <c r="I5" i="6" s="1"/>
  <c r="D23" i="5"/>
</calcChain>
</file>

<file path=xl/sharedStrings.xml><?xml version="1.0" encoding="utf-8"?>
<sst xmlns="http://schemas.openxmlformats.org/spreadsheetml/2006/main" count="149" uniqueCount="140">
  <si>
    <t>2. Brīvpieejas pašpārbaudes latviešu valodas testa satura izstrāde, digitalizācija, uzturēšana un monitorings</t>
  </si>
  <si>
    <t>6. Informatīvais un metodiskais atbalsts latviešu valodas kā svešvalodas mācību īstenotājiem, pedagogiem un valodas apguvējiem, latviešu valodas mācību procesa administrēšana</t>
  </si>
  <si>
    <t>7. Latviešu valodas mācību nodrošināšana</t>
  </si>
  <si>
    <t>5. Izglītības procesa kontrole, pārkāpumu konstatēšana, ieteikumu sniegšana konstatēto trūkumu novēršanai (IKVD)</t>
  </si>
  <si>
    <t>Amata nosaukums</t>
  </si>
  <si>
    <t>Skaits</t>
  </si>
  <si>
    <t xml:space="preserve">Vecākais eksperts </t>
  </si>
  <si>
    <t>Atalgojums kopā</t>
  </si>
  <si>
    <t xml:space="preserve">Piemaksas un pabalsti </t>
  </si>
  <si>
    <t>DD VSAOI</t>
  </si>
  <si>
    <t>Veselības apdrošināšana</t>
  </si>
  <si>
    <t>Atlīdzība gadam kopā ar DD VSAOI</t>
  </si>
  <si>
    <t>Komandējumi</t>
  </si>
  <si>
    <t>1 darbiniekam 3 komandējumi mēnesī (2 dienas)</t>
  </si>
  <si>
    <t>Dienas nauda (6 komandējuma dienas mēnesī ar 100% dienas naudu)</t>
  </si>
  <si>
    <t>Ceļa izdevumi (vidēji 40 EUR vienam darbiniekam 1 komandējumam)</t>
  </si>
  <si>
    <t>Izdevumi naktsmītnēm (60 EUR saskaņā ar MK not.Nr.969)</t>
  </si>
  <si>
    <t>Komandējuma izdevumi kopā gadam</t>
  </si>
  <si>
    <t>Portatīvais dators ar programmatūru</t>
  </si>
  <si>
    <t>DVS licence</t>
  </si>
  <si>
    <t>Telefons</t>
  </si>
  <si>
    <t>Nepieciešamais finansējums gadam</t>
  </si>
  <si>
    <t>Mēnešalga (EUR)</t>
  </si>
  <si>
    <t>Atalgojums gadam (EUR)</t>
  </si>
  <si>
    <t xml:space="preserve">Aprēķinā ņemtas vērā aktuālās izmaksas 2026. gada maijā. </t>
  </si>
  <si>
    <t>Izdevumu pozīcija</t>
  </si>
  <si>
    <t>Kas veido izmaksas?</t>
  </si>
  <si>
    <t>Summa (EUR) par 160 h kursu (6 mēneši)</t>
  </si>
  <si>
    <t>Mācību izmaksas (izglītības iestāde)</t>
  </si>
  <si>
    <t>1.</t>
  </si>
  <si>
    <t xml:space="preserve">Mācību īstenotāju administratīvās izmaksas </t>
  </si>
  <si>
    <t>10 % no kopējām mācību izmaksām (2.-7. pozīcija); izlietojums - valodas apguvēju uzskaite; mācību procesa plānošana, īstenošana un dokumentēšana; dalība kvalitātes uzraudzības procesos; informatīvais un konsultatīvais atbalsts valodas apguvējiem un pedagogiem.</t>
  </si>
  <si>
    <t>2.</t>
  </si>
  <si>
    <t xml:space="preserve">Samaksa pedagogam: 
•	atalgojums par nodarbību vadīšanu;
•	sagatavošanās posms (mācību materiālu izstrāde (ja attiecināms), darbu labošana un vērtēšana, atgriezeniskā saite);
•	konsultāciju sniegšana.
</t>
  </si>
  <si>
    <t>160 akad. h (maksā kā par astronimiskajām) + 30 minūtes uz katru akadēmisko stundu (sagatavošanās posms, konsultācijas) jeb 80 astronomiskās stundas = 240 stundas kopā; šobrīd vidējā samaksa ir  ~ 20 EUR/h.</t>
  </si>
  <si>
    <t>3.</t>
  </si>
  <si>
    <t>Mācību un metodiskie materiāli valodas apguvējam un pedagogam (drukātie vai digitālie mācību materiāli - grāmatas, darba lapas, rokasgrāmatas u. c.</t>
  </si>
  <si>
    <t>Vienai personai 15 EUR.</t>
  </si>
  <si>
    <t>4.</t>
  </si>
  <si>
    <t xml:space="preserve">VVPP valsts nodeva </t>
  </si>
  <si>
    <t>52 EUR 1 valodas apguvējam</t>
  </si>
  <si>
    <t>5.</t>
  </si>
  <si>
    <t>Materiāltehniskie resursi:</t>
  </si>
  <si>
    <t xml:space="preserve">mācību telpu īre </t>
  </si>
  <si>
    <t>mācību telpu uzkopšana</t>
  </si>
  <si>
    <t>Vidējā apkopēja bruto mēnešalga Latvijā ir 900 EUR mēnesī.</t>
  </si>
  <si>
    <t>internets</t>
  </si>
  <si>
    <t>Izvērtējot aktuālo Tet, LMT un Bites piedāvājumu. = vidēji ~ 20 EUR/mēn.</t>
  </si>
  <si>
    <t>kopēšana,  kancelejas preces</t>
  </si>
  <si>
    <t>20 EUR mēnesī</t>
  </si>
  <si>
    <t>tiešsaistes platformu licences vai piekļuve tiešsaistes rīkiem (attālinātām vai kombinētām mācībām)</t>
  </si>
  <si>
    <t>Izvērtējot aktuālo Zoom un MS Teams piedāvājumu - vidēji ~ 13 EUR/mēn.</t>
  </si>
  <si>
    <t>6.</t>
  </si>
  <si>
    <t>Pedagogu profesionālās pilnveides izmaksas</t>
  </si>
  <si>
    <t>Vismaz viens prasmju pilnveides kurss,seminārs, nodarbība.</t>
  </si>
  <si>
    <t>7.</t>
  </si>
  <si>
    <t>15 valodas apguvēji un 1 pedagogs, 20 EUR mēnesī</t>
  </si>
  <si>
    <t>KOPĀ</t>
  </si>
  <si>
    <t>Mācību administrēšanas izmaksas (valsts)</t>
  </si>
  <si>
    <t>8.</t>
  </si>
  <si>
    <t xml:space="preserve">LVA administratīvās izmakas </t>
  </si>
  <si>
    <t>226059 EUR gadā = 10 000 valodas apguvēju; 1 valodas apguvējs = 22,6 EUR</t>
  </si>
  <si>
    <t>izmaksas vienai grupai, kurā ir 15 valodas apguvēju</t>
  </si>
  <si>
    <t>9.</t>
  </si>
  <si>
    <t>IKVD adminsitratīvās izmaksas</t>
  </si>
  <si>
    <t>90881 EUR gadā = 10 000 valodas apguvēju; 1 valodas apguvējs = 9 EUR</t>
  </si>
  <si>
    <t>10.</t>
  </si>
  <si>
    <t>VVPP nodrošināšana</t>
  </si>
  <si>
    <t>72 EUR 1 personai</t>
  </si>
  <si>
    <t>Izglītības iestādes + valsts izmaksas kopā</t>
  </si>
  <si>
    <t>Cilvēkstundas izmaksas</t>
  </si>
  <si>
    <t>Izglītības iestāde</t>
  </si>
  <si>
    <t>Valsts</t>
  </si>
  <si>
    <r>
      <t>Minimālā platība viena izglītojamā vietai mācību telpā ir 2 m</t>
    </r>
    <r>
      <rPr>
        <vertAlign val="superscript"/>
        <sz val="9"/>
        <color rgb="FF000000"/>
        <rFont val="Times New Roman"/>
        <family val="1"/>
        <charset val="186"/>
      </rPr>
      <t xml:space="preserve">2 </t>
    </r>
    <r>
      <rPr>
        <sz val="9"/>
        <color rgb="FF000000"/>
        <rFont val="Times New Roman"/>
        <family val="1"/>
        <charset val="186"/>
      </rPr>
      <t>(MK noteikumi Nr. 610); vidēji cena</t>
    </r>
    <r>
      <rPr>
        <vertAlign val="superscript"/>
        <sz val="9"/>
        <color rgb="FF000000"/>
        <rFont val="Times New Roman"/>
        <family val="1"/>
        <charset val="186"/>
      </rPr>
      <t xml:space="preserve"> </t>
    </r>
    <r>
      <rPr>
        <sz val="9"/>
        <color rgb="FF000000"/>
        <rFont val="Times New Roman"/>
        <family val="1"/>
        <charset val="186"/>
      </rPr>
      <t>= 25 EUR/h.</t>
    </r>
  </si>
  <si>
    <r>
      <rPr>
        <sz val="9"/>
        <color rgb="FF000000"/>
        <rFont val="Times New Roman"/>
        <family val="1"/>
        <charset val="186"/>
      </rPr>
      <t xml:space="preserve">Dzeramais ūdens. </t>
    </r>
    <r>
      <rPr>
        <sz val="9"/>
        <color rgb="FF548235"/>
        <rFont val="Times New Roman"/>
        <family val="1"/>
        <charset val="186"/>
      </rPr>
      <t>NB! Netiek segti izdevumi par kafijas pauzēm vai ēdināšanas pakalpojumiem, izņēmums ir dzeramais ūdens.</t>
    </r>
  </si>
  <si>
    <t>7.76 EUR</t>
  </si>
  <si>
    <t>7.12 EUR</t>
  </si>
  <si>
    <t>0.64 EUR</t>
  </si>
  <si>
    <r>
      <t xml:space="preserve">Latviešu valodas kā svešvalodas mācību izmaksas 160 h kursam maksimāli 15 cilvēkiem vienā grupā + 1 pedagogam + mācību īstenotājam (izglītības iestādei) + LVA, IKVD, VVPP admin. Izmaksas </t>
    </r>
    <r>
      <rPr>
        <b/>
        <sz val="9"/>
        <color rgb="FFFF0000"/>
        <rFont val="Times New Roman"/>
        <family val="1"/>
        <charset val="186"/>
      </rPr>
      <t>(7.2.pasākums)</t>
    </r>
  </si>
  <si>
    <t>VIAA, IZM</t>
  </si>
  <si>
    <t>2.1.</t>
  </si>
  <si>
    <t>Brīvpieejas pašpārbaudes latviešu valodas testa uzdevumu izstrāde</t>
  </si>
  <si>
    <t>VIAA</t>
  </si>
  <si>
    <t>Tests ar lasīšanas, leksikas un gramatikas uzdevumiem A1-C2 līmenim</t>
  </si>
  <si>
    <t>atlīdzība</t>
  </si>
  <si>
    <t>(uzdevumu sākotnējā bāze vienam līmenim aptuveni 90 uzdevumu).</t>
  </si>
  <si>
    <t>2026. gadā viena līmeņa uzdevumu bāze - 2467 eiro x 6 līmeņi = 14802 eiro.</t>
  </si>
  <si>
    <t>VIAA šim mērķim ir finansējums</t>
  </si>
  <si>
    <t xml:space="preserve">Uzdevumu bāzes papildināšana  (vienam līmenim aptuveni 90 uzdevumu).  </t>
  </si>
  <si>
    <t>2027. gads un turpmākie - 14 802 eiro gadā.</t>
  </si>
  <si>
    <t>2.2.</t>
  </si>
  <si>
    <t>IZM</t>
  </si>
  <si>
    <t>pakalpojums </t>
  </si>
  <si>
    <t>2.3.</t>
  </si>
  <si>
    <t>62.09.00</t>
  </si>
  <si>
    <t>1.3.1.1. pasākums (no VARAM)</t>
  </si>
  <si>
    <t>LVA</t>
  </si>
  <si>
    <t>6.1.</t>
  </si>
  <si>
    <t>Personāla izmaksas</t>
  </si>
  <si>
    <t>6.1.1.</t>
  </si>
  <si>
    <t>1 projektu koordinators 39.1. saimes II A līmenis (9. mēnešalgu grupa), līdz 2029. g. beigām 1 esošais projektu koordinators 1398*20 % = 279,6 eiro (atlīdzība; daļveida slodze); no 2030. g. 1 esošais projektu koordinators (pilna slodze) un 1 jauns (pilna slodze) 1398*1 = 1398 eiro</t>
  </si>
  <si>
    <t>piemaksa; atalgojums</t>
  </si>
  <si>
    <t>6.1.2.</t>
  </si>
  <si>
    <t>1 jurists/iepirkumu speciālists 24. saimes II līmenis (10. mēnešalgu grupa), līdz 2027. g. esošais jurists = 1526*20 % = 305,2 (atlīdzība; daļveida slodze); no 2028. gada 1 jauns jurists/iepirkumu speciālists = 1526*1 =  1526 eiro (pilna slodze)</t>
  </si>
  <si>
    <t>6.1.3.</t>
  </si>
  <si>
    <t>1 finansists 15. saimes 4B līmenis  (11. mēnešalgu grupa), 2027. g. 1 esošais finansists 1905* 20 %  = 381,0 eiro (atlīdzība; daļveida slodze); no 2028. g. 1 jauns finansists 1905*1= 1905 eiro (pilna slodze)</t>
  </si>
  <si>
    <t>6.1.4.</t>
  </si>
  <si>
    <t>1 lietvedis/administrators 20.3. saimes III līmenis (8. mēnešalgu grupa), no 2028.g. 1291 eiro (pilna slodze)</t>
  </si>
  <si>
    <t>atalgojums</t>
  </si>
  <si>
    <t>6.1.5.</t>
  </si>
  <si>
    <t>2 klientu apkalpošanas speciālisti 25. saime III līmenis (9. mēnešalgu grupa), 2028., 2029. g. 1 speciālists  1398*1 = 1398 eiro, no 2030. g. 2  speciālisti 1398*2 = 2796 eiro (2 pilnas slodzes)</t>
  </si>
  <si>
    <t> atalgojums</t>
  </si>
  <si>
    <t>6.1.6.</t>
  </si>
  <si>
    <t>1 izglītības metodiķis 33. saime III līmenis (9. mēnešalgas grupa), 1 esošais izglītības metodiķis 1398*20 % = 279,6 eiro (atlīdzība; daļveida slodze) un 1 jauns izglītības metodiķis no 2028. gada 1398*1=1398 eiro (pilna slodze)</t>
  </si>
  <si>
    <t>piemaksa un atalgojums</t>
  </si>
  <si>
    <t>6.1.7.</t>
  </si>
  <si>
    <t>1 galvenais izglītības metodiķis 36. saime IV līmenis (10. mēnešalgu grupa), 1526*20 % =  305,2 eiro (atlīdzība; daļveida slodze);</t>
  </si>
  <si>
    <t>piemaksa </t>
  </si>
  <si>
    <t>6.1.8.</t>
  </si>
  <si>
    <t xml:space="preserve">1 komunikācijas speciālists 26. saime III līmenis (9. mēnešalgu grupa), 1398 eiro (pilna slodze); </t>
  </si>
  <si>
    <r>
      <t>atalgojums</t>
    </r>
    <r>
      <rPr>
        <b/>
        <sz val="8"/>
        <color rgb="FF000000"/>
        <rFont val="Times New Roman"/>
        <family val="1"/>
        <charset val="186"/>
      </rPr>
      <t> </t>
    </r>
  </si>
  <si>
    <t>6.1.9.</t>
  </si>
  <si>
    <t>1 pētnieks / datu analītiķis 20.6 saime III līmenis (9. mēnešalgu grupa), no 2029.gada 1398 eiro (pilna slodze)</t>
  </si>
  <si>
    <t>Atalgojums kopā gadā</t>
  </si>
  <si>
    <t>DD VSAOI 23,59 %</t>
  </si>
  <si>
    <t>6.2.</t>
  </si>
  <si>
    <t>Veselības apdrošināšana: 500 eiro*pilnas slodzes</t>
  </si>
  <si>
    <t>6.3.</t>
  </si>
  <si>
    <t>Darba vietas ierīkošana: 700 eiro*pilnas slodzes</t>
  </si>
  <si>
    <t>6.4.</t>
  </si>
  <si>
    <t>Darba vietas ierīkošana: 800 eiro*pilnas slodzes</t>
  </si>
  <si>
    <t>6.5.</t>
  </si>
  <si>
    <t>Citi izdevumi (komandējumi, kvalifikācijas celšana u. c.)</t>
  </si>
  <si>
    <t>6.6.</t>
  </si>
  <si>
    <t>Telpu noma, komunālie izdevumi (no 2028. g. + 3 telpas, katrā telpā  var strādāt līdz 4 personām)</t>
  </si>
  <si>
    <t>2030 un turpmāk ik gadu</t>
  </si>
  <si>
    <t>Brīvpieejas pašpārbaudes testu (A1-C2) latviešu valodas prasmes līmeņa noteikšanai satura digitalizācija (1200 izstrādes stundas)</t>
  </si>
  <si>
    <t>15.02.51</t>
  </si>
  <si>
    <t>projekts (no KM)</t>
  </si>
  <si>
    <r>
      <rPr>
        <b/>
        <sz val="8"/>
        <color rgb="FFFF0000"/>
        <rFont val="Times New Roman"/>
        <family val="1"/>
        <charset val="186"/>
      </rPr>
      <t>Brīvpieejas pašpārbaudes testu (A1-C2) regulāra ievietošana Valsts pārbaudījumu sistēmā, ekspertēšana un testu izpildes monitorings.</t>
    </r>
    <r>
      <rPr>
        <sz val="8"/>
        <color rgb="FFFF0000"/>
        <rFont val="Times New Roman"/>
        <family val="1"/>
        <charset val="186"/>
      </rPr>
      <t xml:space="preserve">
Piemaksa par papildu darbu speciālistiem (metodiķiem) 
1 speciālists 36. saime V līmenis (10. mēnešalgu grupa) – 2469*20% = 493.80
1 speciālists 36. saime IV līmenis (10. mēnešalgu grupa) - 1980*20% =  396 eiro
3 speciālisti 36. saime III līmenis (9.mēnešalgu grupa) – 1673*20% = 334.6*3 =1003.80 eiro
KOPĀ GADĀ 
1893,6 mēnesī*12 = 22723,20*1,2359 =28083,60 EUR.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</si>
</sst>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9"/>
      <color theme="9" tint="-0.499984740745262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sz val="9"/>
      <name val="Times New Roman"/>
      <family val="1"/>
      <charset val="186"/>
    </font>
    <font>
      <sz val="9"/>
      <color rgb="FF548235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8"/>
      <name val="Times New Roman"/>
      <family val="1"/>
      <charset val="186"/>
    </font>
    <font>
      <i/>
      <sz val="8"/>
      <color rgb="FF00000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Times New Roman"/>
      <family val="1"/>
      <charset val="186"/>
    </font>
    <font>
      <sz val="11"/>
      <color theme="1"/>
      <name val="Aptos"/>
      <family val="2"/>
    </font>
    <font>
      <i/>
      <sz val="8"/>
      <color rgb="FFFF0000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7E6E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/>
    <xf numFmtId="3" fontId="4" fillId="0" borderId="1" xfId="0" applyNumberFormat="1" applyFont="1" applyBorder="1"/>
    <xf numFmtId="0" fontId="4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3" fontId="3" fillId="0" borderId="1" xfId="0" applyNumberFormat="1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/>
    <xf numFmtId="3" fontId="5" fillId="0" borderId="1" xfId="0" applyNumberFormat="1" applyFont="1" applyBorder="1"/>
    <xf numFmtId="3" fontId="0" fillId="0" borderId="0" xfId="0" applyNumberFormat="1"/>
    <xf numFmtId="0" fontId="8" fillId="0" borderId="0" xfId="0" applyFont="1"/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3" borderId="4" xfId="0" applyFont="1" applyFill="1" applyBorder="1" applyAlignment="1">
      <alignment horizontal="left" vertical="top"/>
    </xf>
    <xf numFmtId="0" fontId="8" fillId="3" borderId="5" xfId="0" applyFont="1" applyFill="1" applyBorder="1" applyAlignment="1">
      <alignment horizontal="left" vertical="top" wrapText="1"/>
    </xf>
    <xf numFmtId="0" fontId="8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top"/>
    </xf>
    <xf numFmtId="0" fontId="8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top"/>
    </xf>
    <xf numFmtId="0" fontId="12" fillId="3" borderId="2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left" vertical="top"/>
    </xf>
    <xf numFmtId="0" fontId="10" fillId="3" borderId="9" xfId="0" applyFont="1" applyFill="1" applyBorder="1" applyAlignment="1">
      <alignment horizontal="left" vertical="top"/>
    </xf>
    <xf numFmtId="0" fontId="10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top" wrapText="1"/>
    </xf>
    <xf numFmtId="0" fontId="8" fillId="3" borderId="9" xfId="0" applyFont="1" applyFill="1" applyBorder="1" applyAlignment="1">
      <alignment horizontal="left" vertical="top"/>
    </xf>
    <xf numFmtId="4" fontId="14" fillId="3" borderId="9" xfId="0" applyNumberFormat="1" applyFont="1" applyFill="1" applyBorder="1" applyAlignment="1">
      <alignment horizontal="center" vertical="center"/>
    </xf>
    <xf numFmtId="0" fontId="8" fillId="5" borderId="4" xfId="0" applyFont="1" applyFill="1" applyBorder="1"/>
    <xf numFmtId="0" fontId="8" fillId="5" borderId="2" xfId="0" applyFont="1" applyFill="1" applyBorder="1" applyAlignment="1">
      <alignment vertical="top"/>
    </xf>
    <xf numFmtId="0" fontId="8" fillId="5" borderId="2" xfId="0" applyFont="1" applyFill="1" applyBorder="1" applyAlignment="1">
      <alignment horizontal="left" vertical="top" wrapText="1"/>
    </xf>
    <xf numFmtId="0" fontId="8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15" fillId="5" borderId="6" xfId="0" applyFont="1" applyFill="1" applyBorder="1"/>
    <xf numFmtId="0" fontId="15" fillId="5" borderId="9" xfId="0" applyFont="1" applyFill="1" applyBorder="1" applyAlignment="1">
      <alignment vertical="top"/>
    </xf>
    <xf numFmtId="0" fontId="15" fillId="5" borderId="9" xfId="0" applyFont="1" applyFill="1" applyBorder="1" applyAlignment="1">
      <alignment horizontal="left" vertical="top" wrapText="1"/>
    </xf>
    <xf numFmtId="0" fontId="15" fillId="5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9" fillId="4" borderId="9" xfId="0" applyFont="1" applyFill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0" fontId="8" fillId="6" borderId="1" xfId="0" applyFont="1" applyFill="1" applyBorder="1" applyAlignment="1">
      <alignment vertical="center"/>
    </xf>
    <xf numFmtId="0" fontId="9" fillId="0" borderId="2" xfId="0" applyFont="1" applyBorder="1" applyAlignment="1">
      <alignment horizontal="center" wrapText="1"/>
    </xf>
    <xf numFmtId="0" fontId="18" fillId="7" borderId="15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/>
    </xf>
    <xf numFmtId="4" fontId="18" fillId="7" borderId="17" xfId="0" applyNumberFormat="1" applyFont="1" applyFill="1" applyBorder="1" applyAlignment="1">
      <alignment horizontal="center" vertical="center"/>
    </xf>
    <xf numFmtId="0" fontId="19" fillId="0" borderId="17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/>
    </xf>
    <xf numFmtId="4" fontId="20" fillId="0" borderId="17" xfId="0" applyNumberFormat="1" applyFont="1" applyBorder="1" applyAlignment="1">
      <alignment horizontal="center" vertical="center"/>
    </xf>
    <xf numFmtId="0" fontId="19" fillId="0" borderId="21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22" fillId="0" borderId="29" xfId="0" applyFont="1" applyBorder="1" applyAlignment="1">
      <alignment horizontal="center" vertical="center"/>
    </xf>
    <xf numFmtId="0" fontId="22" fillId="0" borderId="17" xfId="0" applyFont="1" applyBorder="1" applyAlignment="1">
      <alignment vertical="center" wrapText="1"/>
    </xf>
    <xf numFmtId="0" fontId="23" fillId="0" borderId="17" xfId="0" applyFont="1" applyBorder="1" applyAlignment="1">
      <alignment horizontal="center" vertical="center"/>
    </xf>
    <xf numFmtId="4" fontId="22" fillId="0" borderId="17" xfId="0" applyNumberFormat="1" applyFont="1" applyBorder="1" applyAlignment="1">
      <alignment horizontal="center" vertical="center"/>
    </xf>
    <xf numFmtId="0" fontId="19" fillId="7" borderId="17" xfId="0" applyFont="1" applyFill="1" applyBorder="1" applyAlignment="1">
      <alignment vertical="center"/>
    </xf>
    <xf numFmtId="4" fontId="15" fillId="0" borderId="0" xfId="0" applyNumberFormat="1" applyFont="1"/>
    <xf numFmtId="0" fontId="15" fillId="0" borderId="0" xfId="0" applyFont="1"/>
    <xf numFmtId="0" fontId="19" fillId="0" borderId="29" xfId="0" applyFont="1" applyBorder="1" applyAlignment="1">
      <alignment horizontal="center" vertical="center"/>
    </xf>
    <xf numFmtId="0" fontId="24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4" fontId="23" fillId="0" borderId="17" xfId="0" applyNumberFormat="1" applyFont="1" applyBorder="1" applyAlignment="1">
      <alignment horizontal="right" vertical="center"/>
    </xf>
    <xf numFmtId="4" fontId="24" fillId="0" borderId="17" xfId="0" applyNumberFormat="1" applyFont="1" applyBorder="1" applyAlignment="1">
      <alignment horizontal="right" vertical="center"/>
    </xf>
    <xf numFmtId="4" fontId="19" fillId="0" borderId="17" xfId="0" applyNumberFormat="1" applyFont="1" applyBorder="1" applyAlignment="1">
      <alignment horizontal="right" vertical="center" wrapText="1"/>
    </xf>
    <xf numFmtId="4" fontId="19" fillId="0" borderId="17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 wrapText="1"/>
    </xf>
    <xf numFmtId="0" fontId="19" fillId="10" borderId="17" xfId="0" applyFont="1" applyFill="1" applyBorder="1" applyAlignment="1">
      <alignment vertical="center" wrapText="1"/>
    </xf>
    <xf numFmtId="0" fontId="19" fillId="10" borderId="17" xfId="0" applyFont="1" applyFill="1" applyBorder="1" applyAlignment="1">
      <alignment horizontal="center" vertical="center" wrapText="1"/>
    </xf>
    <xf numFmtId="0" fontId="25" fillId="10" borderId="17" xfId="0" applyFont="1" applyFill="1" applyBorder="1" applyAlignment="1">
      <alignment vertical="center" wrapText="1"/>
    </xf>
    <xf numFmtId="4" fontId="19" fillId="10" borderId="17" xfId="0" applyNumberFormat="1" applyFont="1" applyFill="1" applyBorder="1" applyAlignment="1">
      <alignment horizontal="right" vertical="center" wrapText="1"/>
    </xf>
    <xf numFmtId="0" fontId="19" fillId="0" borderId="23" xfId="0" applyFont="1" applyBorder="1" applyAlignment="1">
      <alignment vertical="center"/>
    </xf>
    <xf numFmtId="4" fontId="19" fillId="0" borderId="23" xfId="0" applyNumberFormat="1" applyFont="1" applyBorder="1" applyAlignment="1">
      <alignment horizontal="right" vertical="center"/>
    </xf>
    <xf numFmtId="4" fontId="19" fillId="0" borderId="23" xfId="0" applyNumberFormat="1" applyFont="1" applyBorder="1" applyAlignment="1">
      <alignment horizontal="right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8" borderId="30" xfId="0" applyFont="1" applyFill="1" applyBorder="1" applyAlignment="1">
      <alignment horizontal="center" vertical="center"/>
    </xf>
    <xf numFmtId="4" fontId="18" fillId="7" borderId="30" xfId="0" applyNumberFormat="1" applyFont="1" applyFill="1" applyBorder="1" applyAlignment="1">
      <alignment horizontal="center" vertical="center"/>
    </xf>
    <xf numFmtId="0" fontId="21" fillId="9" borderId="30" xfId="0" applyFont="1" applyFill="1" applyBorder="1" applyAlignment="1">
      <alignment horizontal="center" vertical="center" wrapText="1"/>
    </xf>
    <xf numFmtId="0" fontId="21" fillId="9" borderId="30" xfId="0" applyFont="1" applyFill="1" applyBorder="1" applyAlignment="1">
      <alignment horizontal="left" vertical="center"/>
    </xf>
    <xf numFmtId="0" fontId="18" fillId="9" borderId="30" xfId="0" applyFont="1" applyFill="1" applyBorder="1" applyAlignment="1">
      <alignment horizontal="center" vertical="center"/>
    </xf>
    <xf numFmtId="0" fontId="19" fillId="9" borderId="30" xfId="0" applyFont="1" applyFill="1" applyBorder="1" applyAlignment="1">
      <alignment vertical="center"/>
    </xf>
    <xf numFmtId="4" fontId="18" fillId="9" borderId="30" xfId="0" applyNumberFormat="1" applyFont="1" applyFill="1" applyBorder="1" applyAlignment="1">
      <alignment horizontal="center" vertical="center"/>
    </xf>
    <xf numFmtId="4" fontId="21" fillId="9" borderId="30" xfId="0" applyNumberFormat="1" applyFont="1" applyFill="1" applyBorder="1" applyAlignment="1">
      <alignment horizontal="center" vertical="center"/>
    </xf>
    <xf numFmtId="0" fontId="0" fillId="7" borderId="30" xfId="0" applyFill="1" applyBorder="1"/>
    <xf numFmtId="0" fontId="9" fillId="7" borderId="30" xfId="0" applyFont="1" applyFill="1" applyBorder="1" applyAlignment="1">
      <alignment horizontal="center" vertical="center"/>
    </xf>
    <xf numFmtId="0" fontId="9" fillId="7" borderId="30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vertical="center"/>
    </xf>
    <xf numFmtId="4" fontId="19" fillId="0" borderId="30" xfId="0" applyNumberFormat="1" applyFont="1" applyBorder="1" applyAlignment="1">
      <alignment horizontal="right" vertical="center"/>
    </xf>
    <xf numFmtId="4" fontId="19" fillId="0" borderId="30" xfId="0" applyNumberFormat="1" applyFont="1" applyBorder="1" applyAlignment="1">
      <alignment horizontal="right" vertical="center" wrapText="1"/>
    </xf>
    <xf numFmtId="0" fontId="19" fillId="0" borderId="23" xfId="0" applyFont="1" applyBorder="1" applyAlignment="1">
      <alignment horizontal="right" vertical="center"/>
    </xf>
    <xf numFmtId="0" fontId="19" fillId="0" borderId="31" xfId="0" applyFont="1" applyBorder="1" applyAlignment="1">
      <alignment horizontal="left" vertical="center" wrapText="1"/>
    </xf>
    <xf numFmtId="0" fontId="19" fillId="0" borderId="31" xfId="0" applyFont="1" applyBorder="1" applyAlignment="1">
      <alignment vertical="center"/>
    </xf>
    <xf numFmtId="0" fontId="19" fillId="0" borderId="31" xfId="0" applyFont="1" applyBorder="1" applyAlignment="1">
      <alignment horizontal="right" vertical="center"/>
    </xf>
    <xf numFmtId="4" fontId="19" fillId="0" borderId="31" xfId="0" applyNumberFormat="1" applyFont="1" applyBorder="1" applyAlignment="1">
      <alignment horizontal="right" vertical="center"/>
    </xf>
    <xf numFmtId="4" fontId="19" fillId="0" borderId="31" xfId="0" applyNumberFormat="1" applyFont="1" applyBorder="1" applyAlignment="1">
      <alignment horizontal="right" vertical="center" wrapText="1"/>
    </xf>
    <xf numFmtId="0" fontId="21" fillId="0" borderId="30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49" fontId="15" fillId="0" borderId="0" xfId="0" applyNumberFormat="1" applyFont="1"/>
    <xf numFmtId="0" fontId="23" fillId="0" borderId="17" xfId="0" applyFont="1" applyBorder="1" applyAlignment="1">
      <alignment vertical="center" wrapText="1"/>
    </xf>
    <xf numFmtId="0" fontId="26" fillId="0" borderId="19" xfId="0" applyFont="1" applyBorder="1" applyAlignment="1">
      <alignment vertical="center" wrapText="1"/>
    </xf>
    <xf numFmtId="4" fontId="19" fillId="0" borderId="23" xfId="0" applyNumberFormat="1" applyFont="1" applyBorder="1" applyAlignment="1">
      <alignment vertical="center"/>
    </xf>
    <xf numFmtId="4" fontId="19" fillId="0" borderId="26" xfId="0" applyNumberFormat="1" applyFont="1" applyBorder="1" applyAlignment="1">
      <alignment vertical="center"/>
    </xf>
    <xf numFmtId="4" fontId="19" fillId="0" borderId="28" xfId="0" applyNumberFormat="1" applyFont="1" applyBorder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6" xfId="0" applyFont="1" applyFill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9" fillId="6" borderId="1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textRotation="90"/>
    </xf>
    <xf numFmtId="0" fontId="8" fillId="3" borderId="6" xfId="0" applyFont="1" applyFill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/>
    </xf>
    <xf numFmtId="0" fontId="8" fillId="3" borderId="8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right"/>
    </xf>
    <xf numFmtId="0" fontId="9" fillId="2" borderId="10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right"/>
    </xf>
    <xf numFmtId="0" fontId="9" fillId="4" borderId="5" xfId="0" applyFont="1" applyFill="1" applyBorder="1" applyAlignment="1">
      <alignment horizontal="center" vertical="center" textRotation="90" wrapText="1"/>
    </xf>
    <xf numFmtId="0" fontId="9" fillId="4" borderId="2" xfId="0" applyFont="1" applyFill="1" applyBorder="1" applyAlignment="1">
      <alignment horizontal="center" vertical="center" textRotation="90" wrapText="1"/>
    </xf>
    <xf numFmtId="0" fontId="9" fillId="4" borderId="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2E9A-3CA1-4E75-8BD2-407C9E9EFD5E}">
  <dimension ref="A2:P14"/>
  <sheetViews>
    <sheetView topLeftCell="A6" workbookViewId="0">
      <selection activeCell="K14" sqref="K14"/>
    </sheetView>
  </sheetViews>
  <sheetFormatPr defaultRowHeight="14.4" x14ac:dyDescent="0.3"/>
  <cols>
    <col min="1" max="1" width="11.77734375" customWidth="1"/>
    <col min="2" max="2" width="40.21875" customWidth="1"/>
    <col min="3" max="3" width="13.21875" customWidth="1"/>
    <col min="4" max="4" width="15.44140625" customWidth="1"/>
    <col min="5" max="5" width="12.77734375" customWidth="1"/>
    <col min="6" max="7" width="12.5546875" customWidth="1"/>
    <col min="8" max="8" width="11.21875" customWidth="1"/>
    <col min="9" max="9" width="12.88671875" customWidth="1"/>
  </cols>
  <sheetData>
    <row r="2" spans="1:16" x14ac:dyDescent="0.3">
      <c r="B2" t="s">
        <v>0</v>
      </c>
    </row>
    <row r="3" spans="1:16" ht="15" thickBot="1" x14ac:dyDescent="0.35"/>
    <row r="4" spans="1:16" ht="23.4" thickBot="1" x14ac:dyDescent="0.35">
      <c r="A4" s="92"/>
      <c r="B4" s="92"/>
      <c r="C4" s="92"/>
      <c r="D4" s="92"/>
      <c r="E4" s="93">
        <v>2026</v>
      </c>
      <c r="F4" s="93">
        <v>2027</v>
      </c>
      <c r="G4" s="93">
        <v>2028</v>
      </c>
      <c r="H4" s="93">
        <v>2029</v>
      </c>
      <c r="I4" s="94" t="s">
        <v>135</v>
      </c>
    </row>
    <row r="5" spans="1:16" ht="15.6" thickTop="1" thickBot="1" x14ac:dyDescent="0.35">
      <c r="A5" s="50"/>
      <c r="B5" s="51"/>
      <c r="C5" s="52" t="s">
        <v>79</v>
      </c>
      <c r="D5" s="65"/>
      <c r="E5" s="53">
        <f>E6+E13+E14</f>
        <v>30532</v>
      </c>
      <c r="F5" s="53">
        <f>F6+F13+F14</f>
        <v>97940.602879999991</v>
      </c>
      <c r="G5" s="53">
        <f t="shared" ref="G5:I5" si="0">G6+G13+G14</f>
        <v>58615.602879999991</v>
      </c>
      <c r="H5" s="53">
        <f t="shared" si="0"/>
        <v>50750.602879999991</v>
      </c>
      <c r="I5" s="53">
        <f t="shared" si="0"/>
        <v>50750.602879999991</v>
      </c>
    </row>
    <row r="6" spans="1:16" ht="21.6" thickTop="1" thickBot="1" x14ac:dyDescent="0.35">
      <c r="A6" s="55" t="s">
        <v>80</v>
      </c>
      <c r="B6" s="56" t="s">
        <v>81</v>
      </c>
      <c r="C6" s="57" t="s">
        <v>82</v>
      </c>
      <c r="D6" s="57"/>
      <c r="E6" s="58">
        <f>E7</f>
        <v>14802</v>
      </c>
      <c r="F6" s="58">
        <f t="shared" ref="F6:I6" si="1">F7</f>
        <v>14802</v>
      </c>
      <c r="G6" s="58">
        <f t="shared" si="1"/>
        <v>14802</v>
      </c>
      <c r="H6" s="58">
        <f t="shared" si="1"/>
        <v>14802</v>
      </c>
      <c r="I6" s="58">
        <f t="shared" si="1"/>
        <v>14802</v>
      </c>
    </row>
    <row r="7" spans="1:16" ht="20.399999999999999" x14ac:dyDescent="0.3">
      <c r="A7" s="113"/>
      <c r="B7" s="59" t="s">
        <v>83</v>
      </c>
      <c r="C7" s="116"/>
      <c r="D7" s="119" t="s">
        <v>84</v>
      </c>
      <c r="E7" s="110">
        <f>2467*6</f>
        <v>14802</v>
      </c>
      <c r="F7" s="110">
        <f t="shared" ref="F7:I7" si="2">2467*6</f>
        <v>14802</v>
      </c>
      <c r="G7" s="110">
        <f t="shared" si="2"/>
        <v>14802</v>
      </c>
      <c r="H7" s="110">
        <f t="shared" si="2"/>
        <v>14802</v>
      </c>
      <c r="I7" s="110">
        <f t="shared" si="2"/>
        <v>14802</v>
      </c>
    </row>
    <row r="8" spans="1:16" ht="20.399999999999999" x14ac:dyDescent="0.3">
      <c r="A8" s="114"/>
      <c r="B8" s="59" t="s">
        <v>85</v>
      </c>
      <c r="C8" s="117"/>
      <c r="D8" s="120"/>
      <c r="E8" s="111"/>
      <c r="F8" s="111"/>
      <c r="G8" s="111"/>
      <c r="H8" s="111"/>
      <c r="I8" s="111"/>
    </row>
    <row r="9" spans="1:16" ht="20.399999999999999" x14ac:dyDescent="0.3">
      <c r="A9" s="114"/>
      <c r="B9" s="59" t="s">
        <v>86</v>
      </c>
      <c r="C9" s="117"/>
      <c r="D9" s="120"/>
      <c r="E9" s="111"/>
      <c r="F9" s="111"/>
      <c r="G9" s="111"/>
      <c r="H9" s="111"/>
      <c r="I9" s="111"/>
    </row>
    <row r="10" spans="1:16" ht="15" thickBot="1" x14ac:dyDescent="0.35">
      <c r="A10" s="114"/>
      <c r="B10" s="109" t="s">
        <v>87</v>
      </c>
      <c r="C10" s="117"/>
      <c r="D10" s="120"/>
      <c r="E10" s="111"/>
      <c r="F10" s="111"/>
      <c r="G10" s="111"/>
      <c r="H10" s="111"/>
      <c r="I10" s="111"/>
    </row>
    <row r="11" spans="1:16" ht="20.399999999999999" x14ac:dyDescent="0.3">
      <c r="A11" s="114"/>
      <c r="B11" s="59" t="s">
        <v>88</v>
      </c>
      <c r="C11" s="117"/>
      <c r="D11" s="120"/>
      <c r="E11" s="111"/>
      <c r="F11" s="111"/>
      <c r="G11" s="111"/>
      <c r="H11" s="111"/>
      <c r="I11" s="111"/>
    </row>
    <row r="12" spans="1:16" ht="15" thickBot="1" x14ac:dyDescent="0.35">
      <c r="A12" s="115"/>
      <c r="B12" s="60" t="s">
        <v>89</v>
      </c>
      <c r="C12" s="118"/>
      <c r="D12" s="121"/>
      <c r="E12" s="112"/>
      <c r="F12" s="112"/>
      <c r="G12" s="112"/>
      <c r="H12" s="112"/>
      <c r="I12" s="112"/>
    </row>
    <row r="13" spans="1:16" ht="31.2" thickBot="1" x14ac:dyDescent="0.35">
      <c r="A13" s="61" t="s">
        <v>90</v>
      </c>
      <c r="B13" s="62" t="s">
        <v>136</v>
      </c>
      <c r="C13" s="63" t="s">
        <v>91</v>
      </c>
      <c r="D13" s="63" t="s">
        <v>92</v>
      </c>
      <c r="E13" s="64">
        <v>15730</v>
      </c>
      <c r="F13" s="64">
        <v>55055</v>
      </c>
      <c r="G13" s="64">
        <v>15730</v>
      </c>
      <c r="H13" s="64">
        <v>7865</v>
      </c>
      <c r="I13" s="64">
        <v>7865</v>
      </c>
      <c r="J13" s="67" t="s">
        <v>94</v>
      </c>
      <c r="K13" s="67" t="s">
        <v>95</v>
      </c>
      <c r="L13" s="67"/>
      <c r="M13" s="67"/>
      <c r="N13" s="66"/>
      <c r="O13" s="67"/>
      <c r="P13" s="67"/>
    </row>
    <row r="14" spans="1:16" ht="123" thickBot="1" x14ac:dyDescent="0.35">
      <c r="A14" s="61" t="s">
        <v>93</v>
      </c>
      <c r="B14" s="108" t="s">
        <v>139</v>
      </c>
      <c r="C14" s="63" t="s">
        <v>82</v>
      </c>
      <c r="D14" s="63" t="s">
        <v>84</v>
      </c>
      <c r="E14" s="64">
        <v>0</v>
      </c>
      <c r="F14" s="64">
        <f>((493.8+396+1003.8)*12)*1.2359</f>
        <v>28083.602879999995</v>
      </c>
      <c r="G14" s="64">
        <f t="shared" ref="G14:I14" si="3">((493.8+396+1003.8)*12)*1.2359</f>
        <v>28083.602879999995</v>
      </c>
      <c r="H14" s="64">
        <f t="shared" si="3"/>
        <v>28083.602879999995</v>
      </c>
      <c r="I14" s="64">
        <f t="shared" si="3"/>
        <v>28083.602879999995</v>
      </c>
      <c r="J14" s="107" t="s">
        <v>137</v>
      </c>
      <c r="K14" s="67" t="s">
        <v>138</v>
      </c>
      <c r="L14" s="67"/>
    </row>
  </sheetData>
  <mergeCells count="8">
    <mergeCell ref="H7:H12"/>
    <mergeCell ref="I7:I12"/>
    <mergeCell ref="A7:A12"/>
    <mergeCell ref="C7:C12"/>
    <mergeCell ref="D7:D12"/>
    <mergeCell ref="E7:E12"/>
    <mergeCell ref="F7:F12"/>
    <mergeCell ref="G7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5759-08B0-4D3F-8A3A-1A92D99438C0}">
  <dimension ref="A2:E23"/>
  <sheetViews>
    <sheetView topLeftCell="A2" workbookViewId="0">
      <selection activeCell="I17" sqref="I16:I17"/>
    </sheetView>
  </sheetViews>
  <sheetFormatPr defaultRowHeight="14.4" x14ac:dyDescent="0.3"/>
  <cols>
    <col min="1" max="1" width="65.44140625" bestFit="1" customWidth="1"/>
    <col min="2" max="2" width="6.33203125" bestFit="1" customWidth="1"/>
    <col min="3" max="3" width="10" customWidth="1"/>
    <col min="4" max="4" width="12.33203125" customWidth="1"/>
  </cols>
  <sheetData>
    <row r="2" spans="1:5" ht="30.6" customHeight="1" x14ac:dyDescent="0.3">
      <c r="A2" s="122" t="s">
        <v>3</v>
      </c>
      <c r="B2" s="122"/>
      <c r="C2" s="122"/>
      <c r="D2" s="122"/>
      <c r="E2" s="1"/>
    </row>
    <row r="3" spans="1:5" x14ac:dyDescent="0.3">
      <c r="A3" s="2"/>
      <c r="B3" s="2"/>
      <c r="C3" s="2"/>
      <c r="D3" s="2"/>
    </row>
    <row r="4" spans="1:5" ht="42" x14ac:dyDescent="0.3">
      <c r="A4" s="3" t="s">
        <v>4</v>
      </c>
      <c r="B4" s="3" t="s">
        <v>5</v>
      </c>
      <c r="C4" s="4" t="s">
        <v>22</v>
      </c>
      <c r="D4" s="4" t="s">
        <v>23</v>
      </c>
    </row>
    <row r="5" spans="1:5" x14ac:dyDescent="0.3">
      <c r="A5" s="5" t="s">
        <v>6</v>
      </c>
      <c r="B5" s="5">
        <v>2</v>
      </c>
      <c r="C5" s="5">
        <v>2174</v>
      </c>
      <c r="D5" s="6">
        <f>B5*C5</f>
        <v>4348</v>
      </c>
    </row>
    <row r="6" spans="1:5" x14ac:dyDescent="0.3">
      <c r="A6" s="7" t="s">
        <v>7</v>
      </c>
      <c r="B6" s="5"/>
      <c r="C6" s="5"/>
      <c r="D6" s="6">
        <f>D5*12</f>
        <v>52176</v>
      </c>
    </row>
    <row r="7" spans="1:5" x14ac:dyDescent="0.3">
      <c r="A7" s="7" t="s">
        <v>8</v>
      </c>
      <c r="B7" s="5"/>
      <c r="C7" s="5"/>
      <c r="D7" s="6">
        <v>9914</v>
      </c>
    </row>
    <row r="8" spans="1:5" x14ac:dyDescent="0.3">
      <c r="A8" s="7" t="s">
        <v>9</v>
      </c>
      <c r="B8" s="5"/>
      <c r="C8" s="5"/>
      <c r="D8" s="6">
        <f>(D7+D6)*23.59%</f>
        <v>14647.030999999999</v>
      </c>
    </row>
    <row r="9" spans="1:5" x14ac:dyDescent="0.3">
      <c r="A9" s="7" t="s">
        <v>10</v>
      </c>
      <c r="B9" s="5"/>
      <c r="C9" s="5"/>
      <c r="D9" s="6">
        <v>1164</v>
      </c>
    </row>
    <row r="10" spans="1:5" x14ac:dyDescent="0.3">
      <c r="A10" s="8" t="s">
        <v>11</v>
      </c>
      <c r="B10" s="5"/>
      <c r="C10" s="5"/>
      <c r="D10" s="9">
        <f>SUM(D6:D9)</f>
        <v>77901.031000000003</v>
      </c>
      <c r="E10" s="15"/>
    </row>
    <row r="11" spans="1:5" x14ac:dyDescent="0.3">
      <c r="A11" s="5"/>
      <c r="B11" s="5"/>
      <c r="C11" s="5"/>
      <c r="D11" s="6"/>
    </row>
    <row r="12" spans="1:5" x14ac:dyDescent="0.3">
      <c r="A12" s="5" t="s">
        <v>12</v>
      </c>
      <c r="B12" s="5"/>
      <c r="C12" s="5"/>
      <c r="D12" s="6"/>
    </row>
    <row r="13" spans="1:5" x14ac:dyDescent="0.3">
      <c r="A13" s="5" t="s">
        <v>13</v>
      </c>
      <c r="B13" s="5"/>
      <c r="C13" s="5"/>
      <c r="D13" s="6"/>
    </row>
    <row r="14" spans="1:5" x14ac:dyDescent="0.3">
      <c r="A14" s="5" t="s">
        <v>14</v>
      </c>
      <c r="B14" s="5"/>
      <c r="C14" s="5"/>
      <c r="D14" s="6">
        <f>6*8*12*2</f>
        <v>1152</v>
      </c>
    </row>
    <row r="15" spans="1:5" x14ac:dyDescent="0.3">
      <c r="A15" s="5" t="s">
        <v>15</v>
      </c>
      <c r="B15" s="5"/>
      <c r="C15" s="5"/>
      <c r="D15" s="6">
        <f>40*3*12*2</f>
        <v>2880</v>
      </c>
    </row>
    <row r="16" spans="1:5" x14ac:dyDescent="0.3">
      <c r="A16" s="5" t="s">
        <v>16</v>
      </c>
      <c r="B16" s="5"/>
      <c r="C16" s="5"/>
      <c r="D16" s="6">
        <f>3*60*12*2</f>
        <v>4320</v>
      </c>
    </row>
    <row r="17" spans="1:4" x14ac:dyDescent="0.3">
      <c r="A17" s="8" t="s">
        <v>17</v>
      </c>
      <c r="B17" s="5"/>
      <c r="C17" s="5"/>
      <c r="D17" s="9">
        <f>SUM(D14:D16)</f>
        <v>8352</v>
      </c>
    </row>
    <row r="18" spans="1:4" x14ac:dyDescent="0.3">
      <c r="A18" s="5"/>
      <c r="B18" s="5"/>
      <c r="C18" s="5"/>
      <c r="D18" s="6"/>
    </row>
    <row r="19" spans="1:4" x14ac:dyDescent="0.3">
      <c r="A19" s="10" t="s">
        <v>18</v>
      </c>
      <c r="B19" s="5"/>
      <c r="C19" s="5"/>
      <c r="D19" s="6">
        <f>1500*2</f>
        <v>3000</v>
      </c>
    </row>
    <row r="20" spans="1:4" x14ac:dyDescent="0.3">
      <c r="A20" s="5" t="s">
        <v>19</v>
      </c>
      <c r="B20" s="5"/>
      <c r="C20" s="5"/>
      <c r="D20" s="6">
        <f>214*2</f>
        <v>428</v>
      </c>
    </row>
    <row r="21" spans="1:4" x14ac:dyDescent="0.3">
      <c r="A21" s="5" t="s">
        <v>20</v>
      </c>
      <c r="B21" s="5"/>
      <c r="C21" s="5"/>
      <c r="D21" s="6">
        <f>600*2</f>
        <v>1200</v>
      </c>
    </row>
    <row r="22" spans="1:4" x14ac:dyDescent="0.3">
      <c r="A22" s="11"/>
      <c r="B22" s="5"/>
      <c r="C22" s="5"/>
      <c r="D22" s="9">
        <f>SUM(D19:D21)</f>
        <v>4628</v>
      </c>
    </row>
    <row r="23" spans="1:4" ht="15.6" x14ac:dyDescent="0.3">
      <c r="A23" s="12" t="s">
        <v>21</v>
      </c>
      <c r="B23" s="13"/>
      <c r="C23" s="13"/>
      <c r="D23" s="14">
        <f>D10+D17+D22</f>
        <v>90881.031000000003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1EFBD-978D-406F-BBE4-CB3B0C9F57DB}">
  <dimension ref="A2:I22"/>
  <sheetViews>
    <sheetView topLeftCell="A8" workbookViewId="0">
      <selection activeCell="A4" sqref="A4:I4"/>
    </sheetView>
  </sheetViews>
  <sheetFormatPr defaultRowHeight="14.4" x14ac:dyDescent="0.3"/>
  <cols>
    <col min="1" max="1" width="11.77734375" customWidth="1"/>
    <col min="2" max="2" width="40.21875" customWidth="1"/>
    <col min="3" max="3" width="13.21875" customWidth="1"/>
    <col min="4" max="4" width="15.44140625" customWidth="1"/>
    <col min="5" max="5" width="12.77734375" customWidth="1"/>
    <col min="6" max="7" width="12.5546875" customWidth="1"/>
    <col min="8" max="8" width="11.21875" customWidth="1"/>
    <col min="9" max="9" width="12.88671875" customWidth="1"/>
  </cols>
  <sheetData>
    <row r="2" spans="1:9" ht="29.4" customHeight="1" x14ac:dyDescent="0.3">
      <c r="A2" s="122" t="s">
        <v>1</v>
      </c>
      <c r="B2" s="122"/>
      <c r="C2" s="122"/>
      <c r="D2" s="122"/>
      <c r="E2" s="122"/>
      <c r="F2" s="122"/>
      <c r="G2" s="122"/>
      <c r="H2" s="122"/>
      <c r="I2" s="122"/>
    </row>
    <row r="3" spans="1:9" ht="15" thickBot="1" x14ac:dyDescent="0.35"/>
    <row r="4" spans="1:9" ht="23.4" thickBot="1" x14ac:dyDescent="0.35">
      <c r="A4" s="92"/>
      <c r="B4" s="92"/>
      <c r="C4" s="92"/>
      <c r="D4" s="92"/>
      <c r="E4" s="93">
        <v>2026</v>
      </c>
      <c r="F4" s="93">
        <v>2027</v>
      </c>
      <c r="G4" s="93">
        <v>2028</v>
      </c>
      <c r="H4" s="93">
        <v>2029</v>
      </c>
      <c r="I4" s="94" t="s">
        <v>135</v>
      </c>
    </row>
    <row r="5" spans="1:9" ht="15" thickBot="1" x14ac:dyDescent="0.35">
      <c r="A5" s="83"/>
      <c r="B5" s="84"/>
      <c r="C5" s="84" t="s">
        <v>96</v>
      </c>
      <c r="D5" s="84"/>
      <c r="E5" s="85"/>
      <c r="F5" s="85">
        <f>F6+F18+F19+F20+F21+F22</f>
        <v>49593.990979999995</v>
      </c>
      <c r="G5" s="85">
        <f>G6+G18+G19+G20+G21+G22</f>
        <v>183914.10683999999</v>
      </c>
      <c r="H5" s="85">
        <f>H6+H18+H19+H20+H21+H22</f>
        <v>200011.45933999997</v>
      </c>
      <c r="I5" s="85">
        <f>I6+I18+I19+I20+I21+I22</f>
        <v>242059.47266</v>
      </c>
    </row>
    <row r="6" spans="1:9" ht="15" thickBot="1" x14ac:dyDescent="0.35">
      <c r="A6" s="86" t="s">
        <v>97</v>
      </c>
      <c r="B6" s="87" t="s">
        <v>98</v>
      </c>
      <c r="C6" s="88"/>
      <c r="D6" s="89"/>
      <c r="E6" s="90"/>
      <c r="F6" s="91">
        <f>F16+F17</f>
        <v>44593.990979999995</v>
      </c>
      <c r="G6" s="91">
        <f t="shared" ref="G6:I6" si="0">G16+G17</f>
        <v>146414.10683999999</v>
      </c>
      <c r="H6" s="91">
        <f t="shared" si="0"/>
        <v>168011.45933999997</v>
      </c>
      <c r="I6" s="91">
        <f t="shared" si="0"/>
        <v>207059.47266</v>
      </c>
    </row>
    <row r="7" spans="1:9" ht="51.6" thickBot="1" x14ac:dyDescent="0.35">
      <c r="A7" s="68" t="s">
        <v>99</v>
      </c>
      <c r="B7" s="69" t="s">
        <v>100</v>
      </c>
      <c r="C7" s="70"/>
      <c r="D7" s="70" t="s">
        <v>101</v>
      </c>
      <c r="E7" s="71"/>
      <c r="F7" s="72">
        <f>279.6*12</f>
        <v>3355.2000000000003</v>
      </c>
      <c r="G7" s="72">
        <f t="shared" ref="G7:H7" si="1">279.6*12</f>
        <v>3355.2000000000003</v>
      </c>
      <c r="H7" s="72">
        <f t="shared" si="1"/>
        <v>3355.2000000000003</v>
      </c>
      <c r="I7" s="73">
        <f>(1398)*12.5</f>
        <v>17475</v>
      </c>
    </row>
    <row r="8" spans="1:9" ht="41.4" thickBot="1" x14ac:dyDescent="0.35">
      <c r="A8" s="68" t="s">
        <v>102</v>
      </c>
      <c r="B8" s="54" t="s">
        <v>103</v>
      </c>
      <c r="C8" s="70"/>
      <c r="D8" s="70" t="s">
        <v>101</v>
      </c>
      <c r="E8" s="71"/>
      <c r="F8" s="72">
        <f>(1526*0.2)*12</f>
        <v>3662.3999999999996</v>
      </c>
      <c r="G8" s="72">
        <f>1526*12.5</f>
        <v>19075</v>
      </c>
      <c r="H8" s="72">
        <f t="shared" ref="H8:I8" si="2">1526*12.5</f>
        <v>19075</v>
      </c>
      <c r="I8" s="72">
        <f t="shared" si="2"/>
        <v>19075</v>
      </c>
    </row>
    <row r="9" spans="1:9" ht="41.4" thickBot="1" x14ac:dyDescent="0.35">
      <c r="A9" s="68" t="s">
        <v>104</v>
      </c>
      <c r="B9" s="54" t="s">
        <v>105</v>
      </c>
      <c r="C9" s="70"/>
      <c r="D9" s="70" t="s">
        <v>101</v>
      </c>
      <c r="E9" s="71"/>
      <c r="F9" s="72">
        <f>(1905*0.2)*12</f>
        <v>4572</v>
      </c>
      <c r="G9" s="74">
        <f>1905*12.5</f>
        <v>23812.5</v>
      </c>
      <c r="H9" s="74">
        <f t="shared" ref="H9:I9" si="3">1905*12.5</f>
        <v>23812.5</v>
      </c>
      <c r="I9" s="74">
        <f t="shared" si="3"/>
        <v>23812.5</v>
      </c>
    </row>
    <row r="10" spans="1:9" ht="21" thickBot="1" x14ac:dyDescent="0.35">
      <c r="A10" s="68" t="s">
        <v>106</v>
      </c>
      <c r="B10" s="54" t="s">
        <v>107</v>
      </c>
      <c r="C10" s="70"/>
      <c r="D10" s="70" t="s">
        <v>108</v>
      </c>
      <c r="E10" s="74"/>
      <c r="F10" s="74">
        <v>0</v>
      </c>
      <c r="G10" s="74">
        <f>1291*12.5</f>
        <v>16137.5</v>
      </c>
      <c r="H10" s="74">
        <f t="shared" ref="H10:I10" si="4">1291*12.5</f>
        <v>16137.5</v>
      </c>
      <c r="I10" s="74">
        <f t="shared" si="4"/>
        <v>16137.5</v>
      </c>
    </row>
    <row r="11" spans="1:9" ht="31.2" thickBot="1" x14ac:dyDescent="0.35">
      <c r="A11" s="68" t="s">
        <v>109</v>
      </c>
      <c r="B11" s="54" t="s">
        <v>110</v>
      </c>
      <c r="C11" s="70"/>
      <c r="D11" s="70" t="s">
        <v>111</v>
      </c>
      <c r="E11" s="74"/>
      <c r="F11" s="74">
        <v>0</v>
      </c>
      <c r="G11" s="74">
        <f>1398*12.5</f>
        <v>17475</v>
      </c>
      <c r="H11" s="74">
        <f>1398*12.5</f>
        <v>17475</v>
      </c>
      <c r="I11" s="73">
        <f>(1398*2)*12.5</f>
        <v>34950</v>
      </c>
    </row>
    <row r="12" spans="1:9" ht="41.4" thickBot="1" x14ac:dyDescent="0.35">
      <c r="A12" s="68" t="s">
        <v>112</v>
      </c>
      <c r="B12" s="54" t="s">
        <v>113</v>
      </c>
      <c r="C12" s="75"/>
      <c r="D12" s="70" t="s">
        <v>114</v>
      </c>
      <c r="E12" s="71"/>
      <c r="F12" s="72">
        <f>(1398*0.2)*12</f>
        <v>3355.2000000000003</v>
      </c>
      <c r="G12" s="72">
        <f>1398*12.5</f>
        <v>17475</v>
      </c>
      <c r="H12" s="72">
        <f t="shared" ref="H12:I12" si="5">1398*12.5</f>
        <v>17475</v>
      </c>
      <c r="I12" s="72">
        <f t="shared" si="5"/>
        <v>17475</v>
      </c>
    </row>
    <row r="13" spans="1:9" ht="31.2" thickBot="1" x14ac:dyDescent="0.35">
      <c r="A13" s="68" t="s">
        <v>115</v>
      </c>
      <c r="B13" s="54" t="s">
        <v>116</v>
      </c>
      <c r="C13" s="70"/>
      <c r="D13" s="70" t="s">
        <v>117</v>
      </c>
      <c r="E13" s="71"/>
      <c r="F13" s="72">
        <f>(1526*0.2)*12</f>
        <v>3662.3999999999996</v>
      </c>
      <c r="G13" s="72">
        <f t="shared" ref="G13:I13" si="6">(1526*0.2)*12</f>
        <v>3662.3999999999996</v>
      </c>
      <c r="H13" s="72">
        <f t="shared" si="6"/>
        <v>3662.3999999999996</v>
      </c>
      <c r="I13" s="72">
        <f t="shared" si="6"/>
        <v>3662.3999999999996</v>
      </c>
    </row>
    <row r="14" spans="1:9" ht="21" thickBot="1" x14ac:dyDescent="0.35">
      <c r="A14" s="68" t="s">
        <v>118</v>
      </c>
      <c r="B14" s="54" t="s">
        <v>119</v>
      </c>
      <c r="C14" s="75"/>
      <c r="D14" s="70" t="s">
        <v>120</v>
      </c>
      <c r="E14" s="74"/>
      <c r="F14" s="74">
        <f>1398*12.5</f>
        <v>17475</v>
      </c>
      <c r="G14" s="74">
        <f t="shared" ref="G14:I14" si="7">1398*12.5</f>
        <v>17475</v>
      </c>
      <c r="H14" s="74">
        <f t="shared" si="7"/>
        <v>17475</v>
      </c>
      <c r="I14" s="74">
        <f t="shared" si="7"/>
        <v>17475</v>
      </c>
    </row>
    <row r="15" spans="1:9" ht="21" thickBot="1" x14ac:dyDescent="0.35">
      <c r="A15" s="68" t="s">
        <v>121</v>
      </c>
      <c r="B15" s="54" t="s">
        <v>122</v>
      </c>
      <c r="C15" s="70"/>
      <c r="D15" s="70" t="s">
        <v>120</v>
      </c>
      <c r="E15" s="74"/>
      <c r="F15" s="74">
        <v>0</v>
      </c>
      <c r="G15" s="74">
        <v>0</v>
      </c>
      <c r="H15" s="73">
        <f>1398*12.5</f>
        <v>17475</v>
      </c>
      <c r="I15" s="73">
        <f>1398*12.5</f>
        <v>17475</v>
      </c>
    </row>
    <row r="16" spans="1:9" ht="15" thickBot="1" x14ac:dyDescent="0.35">
      <c r="A16" s="68"/>
      <c r="B16" s="76" t="s">
        <v>123</v>
      </c>
      <c r="C16" s="77"/>
      <c r="D16" s="78"/>
      <c r="E16" s="79"/>
      <c r="F16" s="79">
        <f>F7+F8+F9+F10+F11+F12+F13+F14+F15</f>
        <v>36082.199999999997</v>
      </c>
      <c r="G16" s="79">
        <f t="shared" ref="G16:I16" si="8">G7+G8+G9+G10+G11+G12+G13+G14+G15</f>
        <v>118467.59999999999</v>
      </c>
      <c r="H16" s="79">
        <f t="shared" si="8"/>
        <v>135942.59999999998</v>
      </c>
      <c r="I16" s="79">
        <f t="shared" si="8"/>
        <v>167537.4</v>
      </c>
    </row>
    <row r="17" spans="1:9" ht="15" thickBot="1" x14ac:dyDescent="0.35">
      <c r="A17" s="68"/>
      <c r="B17" s="76" t="s">
        <v>124</v>
      </c>
      <c r="C17" s="77"/>
      <c r="D17" s="78"/>
      <c r="E17" s="79"/>
      <c r="F17" s="79">
        <f>F16*0.2359</f>
        <v>8511.7909799999998</v>
      </c>
      <c r="G17" s="79">
        <f t="shared" ref="G17:I17" si="9">G16*0.2359</f>
        <v>27946.506839999998</v>
      </c>
      <c r="H17" s="79">
        <f t="shared" si="9"/>
        <v>32068.859339999995</v>
      </c>
      <c r="I17" s="79">
        <f t="shared" si="9"/>
        <v>39522.072659999998</v>
      </c>
    </row>
    <row r="18" spans="1:9" ht="15" thickBot="1" x14ac:dyDescent="0.35">
      <c r="A18" s="104" t="s">
        <v>125</v>
      </c>
      <c r="B18" s="95" t="s">
        <v>126</v>
      </c>
      <c r="C18" s="95"/>
      <c r="D18" s="95"/>
      <c r="E18" s="96"/>
      <c r="F18" s="96">
        <v>500</v>
      </c>
      <c r="G18" s="96">
        <v>3000</v>
      </c>
      <c r="H18" s="97">
        <v>3500</v>
      </c>
      <c r="I18" s="97">
        <v>5000</v>
      </c>
    </row>
    <row r="19" spans="1:9" ht="15" thickBot="1" x14ac:dyDescent="0.35">
      <c r="A19" s="104" t="s">
        <v>127</v>
      </c>
      <c r="B19" s="95" t="s">
        <v>128</v>
      </c>
      <c r="C19" s="95"/>
      <c r="D19" s="95"/>
      <c r="E19" s="96"/>
      <c r="F19" s="96">
        <v>700</v>
      </c>
      <c r="G19" s="96">
        <v>3500</v>
      </c>
      <c r="H19" s="97">
        <v>700</v>
      </c>
      <c r="I19" s="97">
        <v>1400</v>
      </c>
    </row>
    <row r="20" spans="1:9" ht="15" thickBot="1" x14ac:dyDescent="0.35">
      <c r="A20" s="104" t="s">
        <v>129</v>
      </c>
      <c r="B20" s="95" t="s">
        <v>130</v>
      </c>
      <c r="C20" s="95"/>
      <c r="D20" s="95"/>
      <c r="E20" s="96"/>
      <c r="F20" s="96">
        <v>800</v>
      </c>
      <c r="G20" s="96">
        <v>4000</v>
      </c>
      <c r="H20" s="97">
        <v>800</v>
      </c>
      <c r="I20" s="97">
        <v>1600</v>
      </c>
    </row>
    <row r="21" spans="1:9" x14ac:dyDescent="0.3">
      <c r="A21" s="105" t="s">
        <v>131</v>
      </c>
      <c r="B21" s="80" t="s">
        <v>132</v>
      </c>
      <c r="C21" s="80"/>
      <c r="D21" s="98"/>
      <c r="E21" s="81"/>
      <c r="F21" s="81">
        <v>3000</v>
      </c>
      <c r="G21" s="81">
        <v>3000</v>
      </c>
      <c r="H21" s="82">
        <v>3000</v>
      </c>
      <c r="I21" s="82">
        <v>3000</v>
      </c>
    </row>
    <row r="22" spans="1:9" ht="21" thickBot="1" x14ac:dyDescent="0.35">
      <c r="A22" s="106" t="s">
        <v>133</v>
      </c>
      <c r="B22" s="99" t="s">
        <v>134</v>
      </c>
      <c r="C22" s="100"/>
      <c r="D22" s="101"/>
      <c r="E22" s="102"/>
      <c r="F22" s="102">
        <v>0</v>
      </c>
      <c r="G22" s="102">
        <v>24000</v>
      </c>
      <c r="H22" s="103">
        <v>24000</v>
      </c>
      <c r="I22" s="103">
        <v>24000</v>
      </c>
    </row>
  </sheetData>
  <mergeCells count="1">
    <mergeCell ref="A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A07CC-56E0-41A7-963C-9AF7B602C9E0}">
  <dimension ref="A2:J28"/>
  <sheetViews>
    <sheetView tabSelected="1" workbookViewId="0">
      <selection activeCell="J8" sqref="J8"/>
    </sheetView>
  </sheetViews>
  <sheetFormatPr defaultRowHeight="14.4" x14ac:dyDescent="0.3"/>
  <cols>
    <col min="3" max="3" width="33" customWidth="1"/>
    <col min="4" max="4" width="48.6640625" customWidth="1"/>
    <col min="5" max="5" width="12.109375" customWidth="1"/>
  </cols>
  <sheetData>
    <row r="2" spans="1:10" x14ac:dyDescent="0.3">
      <c r="B2" s="130" t="s">
        <v>2</v>
      </c>
      <c r="C2" s="130"/>
      <c r="D2" s="130"/>
      <c r="E2" s="130"/>
    </row>
    <row r="4" spans="1:10" x14ac:dyDescent="0.3">
      <c r="A4" s="131" t="s">
        <v>24</v>
      </c>
      <c r="B4" s="131"/>
      <c r="C4" s="131"/>
      <c r="D4" s="131"/>
      <c r="E4" s="131"/>
      <c r="F4" s="16"/>
      <c r="G4" s="16"/>
      <c r="H4" s="16"/>
      <c r="I4" s="16"/>
      <c r="J4" s="16"/>
    </row>
    <row r="5" spans="1:10" ht="27.6" customHeight="1" x14ac:dyDescent="0.3">
      <c r="A5" s="132" t="s">
        <v>78</v>
      </c>
      <c r="B5" s="132"/>
      <c r="C5" s="132"/>
      <c r="D5" s="132"/>
      <c r="E5" s="132"/>
      <c r="F5" s="16"/>
      <c r="G5" s="16"/>
      <c r="H5" s="16"/>
      <c r="I5" s="16"/>
      <c r="J5" s="16"/>
    </row>
    <row r="6" spans="1:10" ht="37.200000000000003" customHeight="1" x14ac:dyDescent="0.3">
      <c r="A6" s="16"/>
      <c r="B6" s="16"/>
      <c r="C6" s="17" t="s">
        <v>25</v>
      </c>
      <c r="D6" s="18" t="s">
        <v>26</v>
      </c>
      <c r="E6" s="49" t="s">
        <v>27</v>
      </c>
      <c r="F6" s="16"/>
      <c r="G6" s="16"/>
      <c r="H6" s="16"/>
      <c r="I6" s="16"/>
      <c r="J6" s="16"/>
    </row>
    <row r="7" spans="1:10" ht="48" x14ac:dyDescent="0.3">
      <c r="A7" s="133" t="s">
        <v>28</v>
      </c>
      <c r="B7" s="19" t="s">
        <v>29</v>
      </c>
      <c r="C7" s="20" t="s">
        <v>30</v>
      </c>
      <c r="D7" s="20" t="s">
        <v>31</v>
      </c>
      <c r="E7" s="21">
        <v>1330.76</v>
      </c>
      <c r="F7" s="16"/>
      <c r="G7" s="16"/>
      <c r="H7" s="16"/>
      <c r="I7" s="16"/>
      <c r="J7" s="16"/>
    </row>
    <row r="8" spans="1:10" ht="84" x14ac:dyDescent="0.3">
      <c r="A8" s="133"/>
      <c r="B8" s="19" t="s">
        <v>32</v>
      </c>
      <c r="C8" s="22" t="s">
        <v>33</v>
      </c>
      <c r="D8" s="22" t="s">
        <v>34</v>
      </c>
      <c r="E8" s="23">
        <v>4800</v>
      </c>
      <c r="F8" s="16"/>
      <c r="G8" s="16"/>
      <c r="H8" s="16"/>
      <c r="I8" s="16"/>
      <c r="J8" s="16"/>
    </row>
    <row r="9" spans="1:10" ht="48" x14ac:dyDescent="0.3">
      <c r="A9" s="133"/>
      <c r="B9" s="19" t="s">
        <v>35</v>
      </c>
      <c r="C9" s="22" t="s">
        <v>36</v>
      </c>
      <c r="D9" s="24" t="s">
        <v>37</v>
      </c>
      <c r="E9" s="25">
        <v>240</v>
      </c>
      <c r="F9" s="16"/>
      <c r="G9" s="16"/>
      <c r="H9" s="16"/>
      <c r="I9" s="16"/>
      <c r="J9" s="16"/>
    </row>
    <row r="10" spans="1:10" x14ac:dyDescent="0.3">
      <c r="A10" s="133"/>
      <c r="B10" s="19" t="s">
        <v>38</v>
      </c>
      <c r="C10" s="26" t="s">
        <v>39</v>
      </c>
      <c r="D10" s="26" t="s">
        <v>40</v>
      </c>
      <c r="E10" s="27">
        <v>780</v>
      </c>
      <c r="F10" s="16"/>
      <c r="G10" s="16"/>
      <c r="H10" s="16"/>
      <c r="I10" s="16"/>
      <c r="J10" s="16"/>
    </row>
    <row r="11" spans="1:10" x14ac:dyDescent="0.3">
      <c r="A11" s="133"/>
      <c r="B11" s="134" t="s">
        <v>41</v>
      </c>
      <c r="C11" s="26" t="s">
        <v>42</v>
      </c>
      <c r="D11" s="26"/>
      <c r="E11" s="27"/>
      <c r="F11" s="16"/>
      <c r="G11" s="16"/>
      <c r="H11" s="16"/>
      <c r="I11" s="16"/>
      <c r="J11" s="16"/>
    </row>
    <row r="12" spans="1:10" ht="28.8" x14ac:dyDescent="0.3">
      <c r="A12" s="133"/>
      <c r="B12" s="135"/>
      <c r="C12" s="26" t="s">
        <v>43</v>
      </c>
      <c r="D12" s="24" t="s">
        <v>73</v>
      </c>
      <c r="E12" s="27">
        <v>4000</v>
      </c>
      <c r="F12" s="16"/>
      <c r="G12" s="16"/>
      <c r="H12" s="16"/>
      <c r="I12" s="16"/>
      <c r="J12" s="16"/>
    </row>
    <row r="13" spans="1:10" x14ac:dyDescent="0.3">
      <c r="A13" s="133"/>
      <c r="B13" s="135"/>
      <c r="C13" s="26" t="s">
        <v>44</v>
      </c>
      <c r="D13" s="28" t="s">
        <v>45</v>
      </c>
      <c r="E13" s="29">
        <v>5400</v>
      </c>
      <c r="F13" s="16"/>
      <c r="G13" s="16"/>
      <c r="H13" s="16"/>
      <c r="I13" s="16"/>
      <c r="J13" s="16"/>
    </row>
    <row r="14" spans="1:10" ht="25.8" customHeight="1" x14ac:dyDescent="0.3">
      <c r="A14" s="133"/>
      <c r="B14" s="135"/>
      <c r="C14" s="22" t="s">
        <v>46</v>
      </c>
      <c r="D14" s="24" t="s">
        <v>47</v>
      </c>
      <c r="E14" s="25">
        <v>120</v>
      </c>
      <c r="F14" s="16"/>
      <c r="G14" s="16"/>
      <c r="H14" s="16"/>
      <c r="I14" s="16"/>
      <c r="J14" s="16"/>
    </row>
    <row r="15" spans="1:10" ht="10.8" customHeight="1" x14ac:dyDescent="0.3">
      <c r="A15" s="133"/>
      <c r="B15" s="135"/>
      <c r="C15" s="22" t="s">
        <v>48</v>
      </c>
      <c r="D15" s="24" t="s">
        <v>49</v>
      </c>
      <c r="E15" s="25">
        <v>120</v>
      </c>
      <c r="F15" s="16"/>
      <c r="G15" s="16"/>
      <c r="H15" s="16"/>
      <c r="I15" s="16"/>
      <c r="J15" s="16"/>
    </row>
    <row r="16" spans="1:10" ht="36" x14ac:dyDescent="0.3">
      <c r="A16" s="133"/>
      <c r="B16" s="136"/>
      <c r="C16" s="22" t="s">
        <v>50</v>
      </c>
      <c r="D16" s="22" t="s">
        <v>51</v>
      </c>
      <c r="E16" s="27">
        <v>78</v>
      </c>
      <c r="F16" s="16"/>
      <c r="G16" s="16"/>
      <c r="H16" s="16"/>
      <c r="I16" s="16"/>
      <c r="J16" s="16"/>
    </row>
    <row r="17" spans="1:10" x14ac:dyDescent="0.3">
      <c r="A17" s="133"/>
      <c r="B17" s="30" t="s">
        <v>52</v>
      </c>
      <c r="C17" s="31" t="s">
        <v>53</v>
      </c>
      <c r="D17" s="31" t="s">
        <v>54</v>
      </c>
      <c r="E17" s="32">
        <v>100</v>
      </c>
      <c r="F17" s="16"/>
      <c r="G17" s="16"/>
      <c r="H17" s="16"/>
      <c r="I17" s="16"/>
      <c r="J17" s="16"/>
    </row>
    <row r="18" spans="1:10" ht="36" x14ac:dyDescent="0.3">
      <c r="A18" s="133"/>
      <c r="B18" s="30" t="s">
        <v>55</v>
      </c>
      <c r="C18" s="33" t="s">
        <v>74</v>
      </c>
      <c r="D18" s="34" t="s">
        <v>56</v>
      </c>
      <c r="E18" s="32">
        <v>120</v>
      </c>
      <c r="F18" s="16"/>
      <c r="G18" s="16"/>
      <c r="H18" s="16"/>
      <c r="I18" s="16"/>
      <c r="J18" s="16"/>
    </row>
    <row r="19" spans="1:10" x14ac:dyDescent="0.3">
      <c r="A19" s="137" t="s">
        <v>57</v>
      </c>
      <c r="B19" s="138"/>
      <c r="C19" s="138"/>
      <c r="D19" s="139"/>
      <c r="E19" s="35">
        <v>17088.759999999998</v>
      </c>
      <c r="F19" s="16"/>
      <c r="G19" s="16"/>
      <c r="H19" s="16"/>
      <c r="I19" s="16"/>
      <c r="J19" s="16"/>
    </row>
    <row r="20" spans="1:10" ht="22.8" customHeight="1" x14ac:dyDescent="0.3">
      <c r="A20" s="140" t="s">
        <v>58</v>
      </c>
      <c r="B20" s="36" t="s">
        <v>59</v>
      </c>
      <c r="C20" s="37" t="s">
        <v>60</v>
      </c>
      <c r="D20" s="38" t="s">
        <v>61</v>
      </c>
      <c r="E20" s="39">
        <v>339</v>
      </c>
      <c r="F20" s="40" t="s">
        <v>62</v>
      </c>
      <c r="G20" s="16"/>
      <c r="H20" s="16"/>
      <c r="I20" s="16"/>
      <c r="J20" s="16"/>
    </row>
    <row r="21" spans="1:10" ht="26.4" customHeight="1" x14ac:dyDescent="0.3">
      <c r="A21" s="141"/>
      <c r="B21" s="36" t="s">
        <v>63</v>
      </c>
      <c r="C21" s="37" t="s">
        <v>64</v>
      </c>
      <c r="D21" s="38" t="s">
        <v>65</v>
      </c>
      <c r="E21" s="39">
        <v>135</v>
      </c>
      <c r="F21" s="40" t="s">
        <v>62</v>
      </c>
      <c r="G21" s="16"/>
      <c r="H21" s="16"/>
      <c r="I21" s="16"/>
      <c r="J21" s="16"/>
    </row>
    <row r="22" spans="1:10" x14ac:dyDescent="0.3">
      <c r="A22" s="142"/>
      <c r="B22" s="41" t="s">
        <v>66</v>
      </c>
      <c r="C22" s="42" t="s">
        <v>67</v>
      </c>
      <c r="D22" s="43" t="s">
        <v>68</v>
      </c>
      <c r="E22" s="44">
        <v>1080</v>
      </c>
      <c r="F22" s="45" t="s">
        <v>62</v>
      </c>
      <c r="G22" s="16"/>
      <c r="H22" s="16"/>
      <c r="I22" s="16"/>
      <c r="J22" s="16"/>
    </row>
    <row r="23" spans="1:10" x14ac:dyDescent="0.3">
      <c r="A23" s="123" t="s">
        <v>57</v>
      </c>
      <c r="B23" s="124"/>
      <c r="C23" s="124"/>
      <c r="D23" s="125"/>
      <c r="E23" s="46">
        <f>SUM(E20:E22)</f>
        <v>1554</v>
      </c>
      <c r="F23" s="16"/>
      <c r="G23" s="16"/>
      <c r="H23" s="16"/>
      <c r="I23" s="16"/>
      <c r="J23" s="16"/>
    </row>
    <row r="24" spans="1:10" x14ac:dyDescent="0.3">
      <c r="A24" s="126" t="s">
        <v>69</v>
      </c>
      <c r="B24" s="126"/>
      <c r="C24" s="126"/>
      <c r="D24" s="126"/>
      <c r="E24" s="47">
        <f>SUM(E19+E23)</f>
        <v>18642.759999999998</v>
      </c>
      <c r="F24" s="16"/>
      <c r="G24" s="16"/>
      <c r="H24" s="16"/>
      <c r="I24" s="16"/>
      <c r="J24" s="16"/>
    </row>
    <row r="25" spans="1:10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</row>
    <row r="26" spans="1:10" x14ac:dyDescent="0.3">
      <c r="A26" s="16"/>
      <c r="B26" s="16"/>
      <c r="C26" s="127" t="s">
        <v>70</v>
      </c>
      <c r="D26" s="127"/>
      <c r="E26" s="127"/>
      <c r="F26" s="16"/>
      <c r="G26" s="16"/>
      <c r="H26" s="16"/>
      <c r="I26" s="16"/>
      <c r="J26" s="16"/>
    </row>
    <row r="27" spans="1:10" x14ac:dyDescent="0.3">
      <c r="A27" s="16"/>
      <c r="B27" s="16"/>
      <c r="C27" s="48" t="s">
        <v>71</v>
      </c>
      <c r="D27" s="48" t="s">
        <v>76</v>
      </c>
      <c r="E27" s="128" t="s">
        <v>75</v>
      </c>
      <c r="F27" s="16"/>
      <c r="G27" s="16"/>
      <c r="H27" s="16"/>
      <c r="I27" s="16"/>
      <c r="J27" s="16"/>
    </row>
    <row r="28" spans="1:10" x14ac:dyDescent="0.3">
      <c r="A28" s="16"/>
      <c r="B28" s="16"/>
      <c r="C28" s="48" t="s">
        <v>72</v>
      </c>
      <c r="D28" s="48" t="s">
        <v>77</v>
      </c>
      <c r="E28" s="129"/>
      <c r="F28" s="16"/>
      <c r="G28" s="16"/>
      <c r="H28" s="16"/>
      <c r="I28" s="16"/>
      <c r="J28" s="16"/>
    </row>
  </sheetData>
  <mergeCells count="11">
    <mergeCell ref="A23:D23"/>
    <mergeCell ref="A24:D24"/>
    <mergeCell ref="C26:E26"/>
    <mergeCell ref="E27:E28"/>
    <mergeCell ref="B2:E2"/>
    <mergeCell ref="A4:E4"/>
    <mergeCell ref="A5:E5"/>
    <mergeCell ref="A7:A18"/>
    <mergeCell ref="B11:B16"/>
    <mergeCell ref="A19:D19"/>
    <mergeCell ref="A20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2.pasākums</vt:lpstr>
      <vt:lpstr>5.pasākums</vt:lpstr>
      <vt:lpstr>6.pasākums</vt:lpstr>
      <vt:lpstr>7.pasākums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Gita Grosa</dc:creator>
  <cp:lastModifiedBy>Iveta Grīnberga</cp:lastModifiedBy>
  <dcterms:created xsi:type="dcterms:W3CDTF">2015-06-05T18:17:20Z</dcterms:created>
  <dcterms:modified xsi:type="dcterms:W3CDTF">2026-07-17T06:56:22Z</dcterms:modified>
</cp:coreProperties>
</file>