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827"/>
  <workbookPr defaultThemeVersion="166925"/>
  <mc:AlternateContent xmlns:mc="http://schemas.openxmlformats.org/markup-compatibility/2006">
    <mc:Choice Requires="x15">
      <x15ac:absPath xmlns:x15ac="http://schemas.microsoft.com/office/spreadsheetml/2010/11/ac" url="\\vnozare.pri\vm\Redirect_profiles\gjermacane\Desktop\"/>
    </mc:Choice>
  </mc:AlternateContent>
  <xr:revisionPtr revIDLastSave="0" documentId="8_{21CB5EF9-D024-42A9-BA3F-9E4CA99739A7}" xr6:coauthVersionLast="47" xr6:coauthVersionMax="47" xr10:uidLastSave="{00000000-0000-0000-0000-000000000000}"/>
  <bookViews>
    <workbookView xWindow="-110" yWindow="-110" windowWidth="19420" windowHeight="10420" tabRatio="992" activeTab="2" xr2:uid="{B0509B64-BB2E-4F54-A025-ACC4C60B9DA2}"/>
  </bookViews>
  <sheets>
    <sheet name="Kopsavilkums" sheetId="2" r:id="rId1"/>
    <sheet name="RAKUS" sheetId="28" r:id="rId2"/>
    <sheet name="Liepāja" sheetId="9" r:id="rId3"/>
    <sheet name="Ziemeļkurzeme" sheetId="26" r:id="rId4"/>
    <sheet name="Vidzeme" sheetId="6" r:id="rId5"/>
    <sheet name="Daugavpils" sheetId="3" r:id="rId6"/>
    <sheet name="Jelgava" sheetId="22" r:id="rId7"/>
    <sheet name="Jūrmala" sheetId="29" r:id="rId8"/>
    <sheet name="Dobele" sheetId="12" r:id="rId9"/>
    <sheet name="Preiļu slimnīca" sheetId="16" r:id="rId10"/>
    <sheet name="Tukums" sheetId="17" r:id="rId11"/>
    <sheet name="Aizkraukle" sheetId="15" r:id="rId12"/>
    <sheet name="Bauska" sheetId="19" r:id="rId13"/>
    <sheet name="Ludza" sheetId="24" r:id="rId14"/>
    <sheet name="Saldus" sheetId="8" r:id="rId15"/>
    <sheet name="TOS" sheetId="27" r:id="rId16"/>
    <sheet name="Rīgas 2.slimn" sheetId="4" r:id="rId17"/>
    <sheet name="Rīgas 1.slimnīca" sheetId="11" r:id="rId18"/>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9" i="26" l="1"/>
  <c r="D7" i="2" s="1"/>
  <c r="C11" i="17"/>
  <c r="C9" i="17"/>
  <c r="C4" i="26"/>
  <c r="C10" i="26" s="1"/>
  <c r="E7" i="2" s="1"/>
  <c r="C8" i="12"/>
  <c r="C6" i="12"/>
  <c r="C10" i="8"/>
  <c r="C7" i="26" l="1"/>
  <c r="F7" i="2"/>
  <c r="G29" i="28"/>
  <c r="G28" i="28"/>
  <c r="G27" i="28"/>
  <c r="G26" i="28"/>
  <c r="G25" i="28"/>
  <c r="G24" i="28"/>
  <c r="G23" i="28"/>
  <c r="G22" i="28"/>
  <c r="G21" i="28"/>
  <c r="G20" i="28"/>
  <c r="G19" i="28"/>
  <c r="G18" i="28"/>
  <c r="G17" i="28"/>
  <c r="G16" i="28"/>
  <c r="G15" i="28"/>
  <c r="G14" i="28"/>
  <c r="G13" i="28"/>
  <c r="G12" i="28"/>
  <c r="G11" i="28"/>
  <c r="G10" i="28"/>
  <c r="G9" i="28"/>
  <c r="G8" i="28"/>
  <c r="G7" i="28"/>
  <c r="G6" i="28"/>
  <c r="G5" i="28"/>
  <c r="G4" i="28"/>
  <c r="C4" i="19"/>
  <c r="C5" i="19" s="1"/>
  <c r="C7" i="19" s="1"/>
  <c r="B12" i="11"/>
  <c r="C12" i="4"/>
  <c r="C9" i="27"/>
  <c r="C11" i="15"/>
  <c r="C7" i="16"/>
  <c r="C11" i="3"/>
  <c r="I17" i="3"/>
  <c r="C11" i="22"/>
  <c r="C12" i="22"/>
  <c r="C7" i="29"/>
  <c r="I20" i="3" l="1"/>
  <c r="H32" i="28"/>
  <c r="G30" i="28"/>
  <c r="H33" i="28"/>
  <c r="E10" i="2"/>
  <c r="D16" i="2"/>
  <c r="F16" i="2" s="1"/>
  <c r="D20" i="2"/>
  <c r="C13" i="4"/>
  <c r="E20" i="2" s="1"/>
  <c r="D21" i="2"/>
  <c r="F21" i="2" s="1"/>
  <c r="D19" i="2"/>
  <c r="F19" i="2" s="1"/>
  <c r="D18" i="2"/>
  <c r="F18" i="2" s="1"/>
  <c r="D15" i="2"/>
  <c r="F15" i="2" s="1"/>
  <c r="D14" i="2"/>
  <c r="F14" i="2" s="1"/>
  <c r="D13" i="2"/>
  <c r="F13" i="2" s="1"/>
  <c r="D12" i="2"/>
  <c r="F12" i="2" s="1"/>
  <c r="D11" i="2"/>
  <c r="F11" i="2" s="1"/>
  <c r="D10" i="2"/>
  <c r="D9" i="2"/>
  <c r="F9" i="2" s="1"/>
  <c r="F20" i="2" l="1"/>
  <c r="F10" i="2"/>
  <c r="E25" i="2" s="1"/>
  <c r="C5" i="24"/>
  <c r="C4" i="24"/>
  <c r="C8" i="24" s="1"/>
  <c r="D17" i="2" s="1"/>
  <c r="F17" i="2" s="1"/>
  <c r="C9" i="22"/>
  <c r="D5" i="2" l="1"/>
  <c r="E5" i="2"/>
  <c r="C8" i="8"/>
  <c r="D24" i="2" l="1"/>
  <c r="E24" i="2" s="1"/>
  <c r="E22" i="2"/>
  <c r="F5" i="2"/>
  <c r="C5" i="29"/>
  <c r="C7" i="27" l="1"/>
  <c r="C11" i="9" l="1"/>
  <c r="F11" i="9"/>
  <c r="E11" i="9"/>
  <c r="E13" i="9" s="1"/>
  <c r="D6" i="2" s="1"/>
  <c r="C6" i="24"/>
  <c r="C9" i="15"/>
  <c r="C10" i="6"/>
  <c r="C9" i="4"/>
  <c r="C6" i="11"/>
  <c r="H8" i="6"/>
  <c r="C6" i="6"/>
  <c r="C12" i="6" l="1"/>
  <c r="D8" i="2" s="1"/>
  <c r="F8" i="2" s="1"/>
  <c r="F6" i="2"/>
  <c r="D25" i="2" l="1"/>
  <c r="D29" i="2" s="1"/>
  <c r="D22" i="2"/>
  <c r="F25" i="2"/>
  <c r="F22" i="2"/>
</calcChain>
</file>

<file path=xl/sharedStrings.xml><?xml version="1.0" encoding="utf-8"?>
<sst xmlns="http://schemas.openxmlformats.org/spreadsheetml/2006/main" count="542" uniqueCount="304">
  <si>
    <t>Datums</t>
  </si>
  <si>
    <t>Summa ar PVN</t>
  </si>
  <si>
    <t>Gāzu tīkla izbūve skābekļa nodrošināšanai Covid-19 pacientiem</t>
  </si>
  <si>
    <t>Total</t>
  </si>
  <si>
    <t>Ārstniecības iestāde</t>
  </si>
  <si>
    <t>N.p.k.</t>
  </si>
  <si>
    <t>Rīgas Austrumu klīniskā universitātes lsimnīca</t>
  </si>
  <si>
    <t>Liepājas reģionālā slimnīca</t>
  </si>
  <si>
    <t>Ziemeļkurzemes reģionālā slimnīca Talsu filiāle</t>
  </si>
  <si>
    <t>Vidzemes slimnīca</t>
  </si>
  <si>
    <t>Daugavpils reģionālā slimnīca</t>
  </si>
  <si>
    <t>Jelgavas pilsētas slimnīca</t>
  </si>
  <si>
    <t>Jūrmalas slimnīca</t>
  </si>
  <si>
    <t>Dobeles un apkārtnes slimnīca</t>
  </si>
  <si>
    <t>Preiļu slimnīca</t>
  </si>
  <si>
    <t>Tukuma slimnīca</t>
  </si>
  <si>
    <t>Aizkraukles slimnīca</t>
  </si>
  <si>
    <t>Bauskas slimnīca</t>
  </si>
  <si>
    <t>Ludzas medicīnas centrs</t>
  </si>
  <si>
    <t>Saldus medicīnas centrs</t>
  </si>
  <si>
    <t>Traumatoloģijas un ortopēdijas slimnīca</t>
  </si>
  <si>
    <t>Rīgas 2. slimnīca</t>
  </si>
  <si>
    <t>KOPĀ</t>
  </si>
  <si>
    <t>Ietverta 2 mēnešu cisternas noma</t>
  </si>
  <si>
    <t>Pavadzīmes vai rēķina Nr.</t>
  </si>
  <si>
    <t>Linde Gas apņemas veikt medicīniskās skābekļa apgādes rekonstrukciju ar maģistrālo līniju iestrādi un atsevišķas līnijas izbūvi uz Covid-19 nodaļām SIA “Daugavpils reģionālās slimnīcas” struktūrvienībā Plaušu slimību un tuberkulozes centrā, 18.Novembra ielā 311, Daugavpilī.</t>
  </si>
  <si>
    <t>Medicīniskās skābekļa apgādes rekonstrukcija ar maģistrālo līniju iestrādi un atsevišķas līnijas izbūvi, skabekļa rozešu  uzstadišāna uz Covid-19 nodaļām SIA “Daugavpils reģionālās slimnīcas” struktūrvienībā Plaušu slimību un tuberkulozes centrā, 18.Novembra ielā 311, Daugavpilī.</t>
  </si>
  <si>
    <t>Piedāvājums Nr.1509214/HC/VM  Saskaņā ar pieprasījumu, sagatavojām jums piedāvājumu par LOXM (medicīniskais sašķidrinātais skābeklis) tvertņu maiņu vietām starp slimnīcas korpusu Vasarnīcas ielā un filiāli - Plaušu centrs 18.novembra ielā.</t>
  </si>
  <si>
    <t xml:space="preserve"> 2021.gada janvārī</t>
  </si>
  <si>
    <t>majā 2021.g.</t>
  </si>
  <si>
    <t>oktobrī  2021.g.</t>
  </si>
  <si>
    <t>novembrī 2021.g.</t>
  </si>
  <si>
    <t>Medicīniskā skābekļa apgādes rekonstrukcijai. Daugavpils slimnīcas filiālē - Plaušu centrs - ar papildus izbūvētās līnijas uz Covid nodaļām pieslēgšanu pie centrālās padeves sistēmas</t>
  </si>
  <si>
    <t>tapa</t>
  </si>
  <si>
    <t>trejgabals kapara</t>
  </si>
  <si>
    <t>stiprinat. Caurule</t>
  </si>
  <si>
    <t>kapar. Caurule D12 mm</t>
  </si>
  <si>
    <t>cauruke kapara D10 mm</t>
  </si>
  <si>
    <t xml:space="preserve">kapara caurule  D18 </t>
  </si>
  <si>
    <t>mufta  kapara</t>
  </si>
  <si>
    <t>lodalva</t>
  </si>
  <si>
    <t>lodpasta</t>
  </si>
  <si>
    <t>līkums kapara</t>
  </si>
  <si>
    <t>rozete gāzu skabekliem</t>
  </si>
  <si>
    <t xml:space="preserve">ventilis </t>
  </si>
  <si>
    <t xml:space="preserve">Gāzu tīkla izbūve skābekļa nodrošināšanai Covid-19 pacientiem </t>
  </si>
  <si>
    <r>
      <t xml:space="preserve">Gāzu tīkla izbūve skābekļa nodrošināšanai Covid-19 pacientiem  </t>
    </r>
    <r>
      <rPr>
        <sz val="11"/>
        <color rgb="FFFF0000"/>
        <rFont val="Calibri"/>
        <family val="2"/>
        <charset val="186"/>
        <scheme val="minor"/>
      </rPr>
      <t>ĀRĒJIE</t>
    </r>
  </si>
  <si>
    <r>
      <t xml:space="preserve">Gāzu tīkla izbūve skābekļa nodrošināšanai Covid-19 pacientiem </t>
    </r>
    <r>
      <rPr>
        <sz val="11"/>
        <color rgb="FFFF0000"/>
        <rFont val="Calibri"/>
        <family val="2"/>
        <charset val="186"/>
        <scheme val="minor"/>
      </rPr>
      <t>IEKŠĒJIE</t>
    </r>
  </si>
  <si>
    <t>Iekšējos sistēmas uzlabošanas darbus lielākoties veicām ar pašu inženieru daļas spēkiem (ir apmācīts personāls) - izmaksas tikai materiālu iegādei. Ārējā pieslēguma rekonstrukcijas darbus veica to esošais uzturētājs SIA "Linde Gas"</t>
  </si>
  <si>
    <t>Iesaistīti divu uzņēmumu (Linde Gas SIA un Sabiedrību ar ierobežotu atbildību "ELME MESSER L") konsultanti šī jautājuma operatīvā risināšanā, lai varētu pēc iespējas ātrāk realizēt Slimnīcas ārējā pieslēguma rekonstrukcijas darbus, kā rezultātā 12.11.21. tika pieņemts lēmums un ir izvēlēts piedāvājumu ar ātrāko iespējamo skābekļa nodrošinājumu, ņemot vērā, ka tuvākajā termiņā nav iespējams uzstādīt sašķidrinātā skābekļa tvertnes. Iespējamais piegādes termiņš ir apmēram 8 mēneši.</t>
  </si>
  <si>
    <t>No Sabiedrības ar ierobežotu atbildību "ELME MESSER L" pārstāvjiem saņēmām risinājumu – saspiests skābeklis balonos (MEGAPACK 150l baloni ar 300bar spiedienu), kas nodrošina 1t apjomu sašķidrinātā skābekļa un ar iespēju papildināt balonu skaitu pēc nepieciešamības. Uzstādīšanas un būvdarbu izmaksas sastāda ap 10 000 EUR ar PVN.</t>
  </si>
  <si>
    <t>Ir izsludināta sarunu procedūra par iekšējo skābekļa sistēmas izbūvi, kuras rezultātā saņemts viens piedāvājums. Slimnīca gatava slēgt līgumu par būvdarbiem.</t>
  </si>
  <si>
    <t>Esošie ieguldījumi skābekļa sistēmā 2021. gadā par papildus 2 saišķu uzstādīšanu sastāda 1 611,99 EUR ar PVN.</t>
  </si>
  <si>
    <t>Balonu saišķa iegāde skābekļa nodrošinājumam cauruļvadu pārslēgšanas un montāžas darbu laikā.</t>
  </si>
  <si>
    <t>24.09.21. Nr.6721870043</t>
  </si>
  <si>
    <t>1. Veikta atsevišķa skābekļa pievada izbūve uz Covid-19 intensīvās palātas telpām atsevišķas plūsmas nodrošināšanai un daļēja maģistrālās līnijas pārbūve.
2. Veikta centrālās skābekļa maģistrāles nomaiņa uz lielāku diametru lielākas plūsmas nodrošinājumam slimnīcā kopumā.</t>
  </si>
  <si>
    <t>07.10.2021. Nr.6721880995</t>
  </si>
  <si>
    <t>PLĀNOTIE DARBI</t>
  </si>
  <si>
    <t xml:space="preserve">Plānota atsevišķa skābekļa pievada izbūve uz operāciju nodaļu, atdalot to no kopējās līnijas, kura nodrošina skābekļa pievadu arī Terapijas-2 nodaļai (Covid-19 vidēji smago pacientu stacionārā nodaļa), lai varētu tikt nodrošināta augstas plūsmas skābekļa terapija Covid-19 pacientiem un pietiekoša spiediena skābekļa plūsma uz operāciju zālēm.  </t>
  </si>
  <si>
    <t>11.11.2021. Piedāvājums Nr. OP111121 HC2</t>
  </si>
  <si>
    <t>Veikta medicīniskā skābekļa centrāles nomaiņa.</t>
  </si>
  <si>
    <t>23.03.2021. Nr.6721786283</t>
  </si>
  <si>
    <t>03.08.2021. Nr.R210803-1</t>
  </si>
  <si>
    <t>Izbūvēts atsevišķs pievads Covid-19 pacientu stacionārai nodaļai.</t>
  </si>
  <si>
    <t>Veikta līnijas reduktora instalācija uz esošās līnijas (uz plānoto Covid-19 intensīvās terapijas nodaļu).</t>
  </si>
  <si>
    <t>09.11.2021. Nr. 6721895170</t>
  </si>
  <si>
    <t>11.11.21. Nr. p/n akts Nr. 11112111 TS</t>
  </si>
  <si>
    <t>Veikta atsevišķa medicīniskā skābekļa pievada un ligzdu izbūve uz esošo renimācijas nodaļu (plānoto Covid-19 intensīvās terapijas nodaļu) augstas skābekļa plūsmas nodrošinājumam. Darbi pabeigti, rēķins vēl nav saņemts.</t>
  </si>
  <si>
    <r>
      <t xml:space="preserve">Gāzu tīkla izbūve skābekļa nodrošināšanai Covid-19 pacientiem  </t>
    </r>
    <r>
      <rPr>
        <sz val="11"/>
        <color rgb="FFFF0000"/>
        <rFont val="Calibri"/>
        <family val="2"/>
        <charset val="186"/>
        <scheme val="minor"/>
      </rPr>
      <t>IEKŠĒJIE</t>
    </r>
  </si>
  <si>
    <t xml:space="preserve">Gāzu tīkla izbūve skābekļa nodrošināšanai Covid-19 pacientiem  </t>
  </si>
  <si>
    <t>092-27991</t>
  </si>
  <si>
    <t>Skābekļa ģeneratoru izbūve</t>
  </si>
  <si>
    <t>Skābekļu koncentrācijas mērītāju izbūve ITN</t>
  </si>
  <si>
    <t>Sašķidrinātā medicīniskā skābekļa cisternas pieslēgšana</t>
  </si>
  <si>
    <t xml:space="preserve"> Skābekļa rezerves sistēmas pārvietošana</t>
  </si>
  <si>
    <t>Medicīnas gāzu tīkla izbūve magnētiskās rezonanses kabinetā</t>
  </si>
  <si>
    <t>Sašķidrinātā medicīniskā skābekļa cisternas noma</t>
  </si>
  <si>
    <t>Medicīnas konsoles BP 2.kārta, 4.kārta, ITN</t>
  </si>
  <si>
    <t>04.2021.</t>
  </si>
  <si>
    <t>07.2021.</t>
  </si>
  <si>
    <t>10.2021.</t>
  </si>
  <si>
    <t>01.2021.</t>
  </si>
  <si>
    <t>12.2021.</t>
  </si>
  <si>
    <t>11.-12.2021.</t>
  </si>
  <si>
    <t>PN akts 2021/0107, rēķins</t>
  </si>
  <si>
    <t>PN akts 2021/0243, rēķins</t>
  </si>
  <si>
    <t>UMT tāme. Izmaksas tāmē bez PVN 21%</t>
  </si>
  <si>
    <t>PN akts 2020/0516, rēķins</t>
  </si>
  <si>
    <t>Līguma Nr. 2021/0529 nosacījumi</t>
  </si>
  <si>
    <t>Līguma 2021/0365 vienošanās Nr.1 pielikums</t>
  </si>
  <si>
    <t>LRS finansējums</t>
  </si>
  <si>
    <t>NVD/ERAF finansējms</t>
  </si>
  <si>
    <t xml:space="preserve">17.korpusa COVID-19 nodaļas palātās no vienas skābekļa ligzdas izveidotas divas un ievilkta saspiestā gaisa līnija </t>
  </si>
  <si>
    <t>Ievilktas jaunas maģistrāles uz 17. korpusu un 3.,4.,5.,6. korpusu un centrālē uzstādīti jauni reduktori, lai nodrošinātu nepieciešamo skābekļa plūsmu COVID-19 nodaļās</t>
  </si>
  <si>
    <t>Pēc iepirkuma izmaksas skābekļa ligzdu izbūvei bija 9897,00 (bez PVN) un saspiestā gaisa līnijas un ligzdu izbūvei 3156,00 (bez PVN), jo tika samazināts nepieciešamo ligzdu skaits.</t>
  </si>
  <si>
    <t>Laikā no 2021.gada janvāra līdz maijam veikto darbi, tai skaitā medicīniskā skābekļa padeves līniju izbūve, reduktoru mezgla izbūve, tai skaitā  skābekļa ēkā.</t>
  </si>
  <si>
    <t>3 skābekļa plūsmas mērītāju iegāde</t>
  </si>
  <si>
    <t>Ārējā pieslēguma rekonstrukcija:  sašķidrinātā medicīniskā skābekļa cisternas uzstādīšana</t>
  </si>
  <si>
    <t>Ārējā pieslēguma rekonstrukcija: elektrības pievades uzstādīšana</t>
  </si>
  <si>
    <t>Slimnīcas iekšējo konsoles pieslēgumu palielināšana: iegādāti 10 O2 caurplūdes dozatori ar mitrinātāju</t>
  </si>
  <si>
    <t>Centralizētas skābekļa sistēmas paplašināšana un 7 papildu pieslēguma vietu izveide terapijas nodaļā</t>
  </si>
  <si>
    <t>6721881100; SAL002337</t>
  </si>
  <si>
    <t xml:space="preserve">Izveidotas papildus 6 skābekļa ligzdas Covid-19 palātās </t>
  </si>
  <si>
    <t xml:space="preserve">Izbūvēta vieta skābekļa konteineru novietošanai un renovēts savienojums ar esošo skābekļa sistēmu </t>
  </si>
  <si>
    <t>Tāmes Nr. 685</t>
  </si>
  <si>
    <t>Tāmes Nr.MG-20/10/2021</t>
  </si>
  <si>
    <t>Piedāvājums Nr. 170921HC1/TS/VM</t>
  </si>
  <si>
    <t>GU-0024</t>
  </si>
  <si>
    <t>Tāme 11.11.2021.</t>
  </si>
  <si>
    <t>091-21638; 091-21639; 091-21666; nodošanas/pieņemšanas akts</t>
  </si>
  <si>
    <t>092-28273</t>
  </si>
  <si>
    <t>Skābekļa apgādes sistēmas izbūve, kā arī papildus nomainīta skābekļa tvertne no 3 t uz 6 t, kā arī skābekļa iztvaikotājs no 50 m^3 uz 200m^3 caurplūdi</t>
  </si>
  <si>
    <t xml:space="preserve"> 16.08.21. piedāvājums Nr. LGT/8/121 ar tāmi</t>
  </si>
  <si>
    <t>Pavasarī (01.03.2021) bija veikti slimnīcas ārējā pieslēguma rekonstrukcijas darbi – centrālas plūsmas
palielināšana</t>
  </si>
  <si>
    <t>2021.gada marts</t>
  </si>
  <si>
    <t>Tāmes Nr.671, no ELME MESSER GAAS</t>
  </si>
  <si>
    <t>12.11.21. veikti iekšējie rekonstrukcijas darbi - jaunas medicīniskā skābekļa centralizēto pieslēgumu izveides (četras pieslēguma vietās slimnīcas vecajā korpusā)</t>
  </si>
  <si>
    <t xml:space="preserve">2021.gada novembris </t>
  </si>
  <si>
    <t>Rīgas 1. slimnīca</t>
  </si>
  <si>
    <t xml:space="preserve">Slimnīcas Stacionāra ēkas 4. un 5.stāva maģistrālo O2 cauruļvadu pārbūves darbi </t>
  </si>
  <si>
    <t>Slimnīcas iekšējo konsoles pieslēgumu palielināšana: no “Elme Meeser L” pasūtīti 5 konsoles sadalītāji</t>
  </si>
  <si>
    <t>skābekļa maģistrālās līnijas pārbūve ar lietošanas punktu nomaiņu, 2.kārta</t>
  </si>
  <si>
    <t>Kriogēnās tvertnes 6m3, iztvaikotājs100m3/h, pamata betona plāksne, žogs noma uz Covid-19 pandēmijas laiku no SIA “EME MESSER L”. 1815 eur/mēn.</t>
  </si>
  <si>
    <t>Slimnīcas ārējā pieslēguma rekonstrukcijas darbi (sašķidrinātā medicīniskā skābekļa cisternas modernizācija un/ vai gāzveida pieslēgumu modernizācijas tilpuma palielināšana, pamatnes izbūves darbi, iztvaikotāja jaudas palielināšana, centrāles plūsmas palielināšana, jauna pievada izveidošana un citi saistītie darbi)</t>
  </si>
  <si>
    <t>Mediciniskā skābekļa automātiskas pārslēgšanas stacija. Darba jauda 180 m3/h</t>
  </si>
  <si>
    <t>Skābekļa koncentrācijas portatīvai mērītājs</t>
  </si>
  <si>
    <t>Skābekļa iekšējo maģistrāļu nomaiņa</t>
  </si>
  <si>
    <t>Sienas konsoļu papildināšana ar skābekļa ligzdām</t>
  </si>
  <si>
    <t>Duntes iela 18, 3. nodaļa – papildus 22 skābekļa rozešu izbūve, lai varētu uzņemt Covid-19 pacientus. </t>
  </si>
  <si>
    <t>Skābekļa stacija, 5. operāciju bloks - jauna medicīniskā skābekļa pieslēguma izveide, lai atdalītu 5. operāciju bloka gāzu sistēmu no 3. nodaļas sistēmas.</t>
  </si>
  <si>
    <t>Rēķins Nr.25/10/2021</t>
  </si>
  <si>
    <t>2021.gada 21.oktobrī</t>
  </si>
  <si>
    <t>RĒĶINS 6721895163</t>
  </si>
  <si>
    <t>2021.gada 9.novembris</t>
  </si>
  <si>
    <t>Sabiedrības budžets</t>
  </si>
  <si>
    <t>atbilstoši līguma tāmei/ apjomu tabulai pielikumā</t>
  </si>
  <si>
    <t>paveikts</t>
  </si>
  <si>
    <t>Gaiļezers</t>
  </si>
  <si>
    <t>B8-2021/269</t>
  </si>
  <si>
    <t>Skābekļa pievades sistēmas izbūve stacionāra “Gaiļezers” 9. korpusa 4. stāvā</t>
  </si>
  <si>
    <t>Nr n5</t>
  </si>
  <si>
    <t>TPSC</t>
  </si>
  <si>
    <t>A1/1.1-11/21/3285</t>
  </si>
  <si>
    <t>Gāzu evakuācijas ligzdu nomaiņa stacionāra "TPSC" 3., 4. un 9. nodaļā</t>
  </si>
  <si>
    <t>Nr n4</t>
  </si>
  <si>
    <t>LIC</t>
  </si>
  <si>
    <t>A1/1.1-11/21/718</t>
  </si>
  <si>
    <t>Stacionāra "LIC" Montāžas darbi medicīniska skābekļa padeves nodrošināšanai</t>
  </si>
  <si>
    <t>Nr n2</t>
  </si>
  <si>
    <t>A1/1.1-11/21/717</t>
  </si>
  <si>
    <t>Nr n1</t>
  </si>
  <si>
    <t>ārkārtas iepirkuma ietvaros (iepirkuma identifikācijas Nr. RAKUS 2021/133A)</t>
  </si>
  <si>
    <t>plānots</t>
  </si>
  <si>
    <t>Skābekļa rozešu un cauruļvadu montāža stacionāra "Gaiļezers" 9. korpusa 9. stāva labajā pusē</t>
  </si>
  <si>
    <t>Nr 26</t>
  </si>
  <si>
    <t>Jauna medicīniskā skābekļa maģistrālā cauruļvada montāža stacionārā “Latvijas Infektoloģijas centrs” no maģistrāles zaru savienojuma līdz 18.korpusam</t>
  </si>
  <si>
    <t>Nr 25</t>
  </si>
  <si>
    <t>Biķernieki</t>
  </si>
  <si>
    <t>Skābekļa rozešu un ventiļa montāža stacionāra "Biķernieki" 4. stāva kreisajā spārnā</t>
  </si>
  <si>
    <t>Nr 24</t>
  </si>
  <si>
    <t>Skābekļa un saspiestā gaisa rozešu un cauruļvadu montāža stacionāra "Gaiļezers" 9. korpusa 3. stāvā</t>
  </si>
  <si>
    <t>Nr 23</t>
  </si>
  <si>
    <t>Skābekļa un saspiestā gaisa rozešu un cauruļvadu montāža stacionāra "Gaiļezers" 9. korpusa 6. stāvā</t>
  </si>
  <si>
    <t>Nr 22</t>
  </si>
  <si>
    <t>Skābekļa rozešu un cauruļvadu montāža stacionāra "Gaiļezers" 9. korpusa 11. stāvā</t>
  </si>
  <si>
    <t>Nr 3</t>
  </si>
  <si>
    <t>B8-2021/779</t>
  </si>
  <si>
    <t>Skābekļa cauruļvadu un sadales montāža stacionāra “Gaiļezers” 9. korpusā</t>
  </si>
  <si>
    <t>Nr 21</t>
  </si>
  <si>
    <t>Skābekļa un saspiestā gaisa rozešu un cauruļvadu montāža stacionāra “Gaiļezers” 89. nodaļā</t>
  </si>
  <si>
    <t>Nr 19</t>
  </si>
  <si>
    <t>Reduktoru un cauruļvadu montāža palielinot darba spiedienu līnijā līdz sadales telpai stacionāra “Gaiļezers” 9. korpusā</t>
  </si>
  <si>
    <t>Nr 18</t>
  </si>
  <si>
    <t>Skābekļa ligzdu un cauruļvadu montāža stacionāra “Gaiļezers” NMPUK garāžā</t>
  </si>
  <si>
    <t>Nr 15</t>
  </si>
  <si>
    <t>B8-2021/780</t>
  </si>
  <si>
    <t>Sašķidrinātā skābekļa tvertnes, spiediena stabilizācijas bloka un savienojošās maģistrālās caurules montāža stacionārā “Gaiļezers”</t>
  </si>
  <si>
    <t>Nr 14</t>
  </si>
  <si>
    <t>LOC</t>
  </si>
  <si>
    <t>Lielākas skābekļa tvertnes/mucas un maģistrālās līnijas montāža</t>
  </si>
  <si>
    <t>Nr 13</t>
  </si>
  <si>
    <t>B8-2021/640</t>
  </si>
  <si>
    <t>Skābekļa sistēmas iekšējo tīklu izbūve stacionāra “Latvijas Infektoloģijas Centrs” 6. un 8A nodaļai</t>
  </si>
  <si>
    <t>Nr 12</t>
  </si>
  <si>
    <t>Stacionāra “Gaiļezers” NMPUK jaunu skābekļa rozešu montāža</t>
  </si>
  <si>
    <t>Nr 10</t>
  </si>
  <si>
    <t>Skābekļa ligzdu un cauruļvadu montāža stacionāra “Biķernieki” Gerontoloģijas un 1. Ķirurģijas nodaļās</t>
  </si>
  <si>
    <t>Nr 9</t>
  </si>
  <si>
    <t>Nr 8</t>
  </si>
  <si>
    <t>B8-2021/743</t>
  </si>
  <si>
    <t>Saspiestā gaisa ligzdu un stiprinājuma profilu uzstādīšana stacionāra “Biķernieki”  AITN nodaļā</t>
  </si>
  <si>
    <t>Nr 7</t>
  </si>
  <si>
    <t>B8-2021/742</t>
  </si>
  <si>
    <t>Maģistrālo skābekļa un saspiestā gaisa cauruļvadu izbūve stacionārā “Tuberkulozes un plaušu slimību centrs”</t>
  </si>
  <si>
    <t>Nr 6</t>
  </si>
  <si>
    <t>B8-2021/741</t>
  </si>
  <si>
    <t>Skābekļa ligzdu un līniju izbūve stacionāra “Tuberkulozes un plaušu slimību centrs” nodaļās</t>
  </si>
  <si>
    <t>Nr 5</t>
  </si>
  <si>
    <t>B8-2021/739</t>
  </si>
  <si>
    <t>Skābekļa sistēmas iekšējo un ārējo tīklu izbūve stacionāra “Latvijas Infektoloģijas centrs” 10. nodaļā</t>
  </si>
  <si>
    <t>Nr 4</t>
  </si>
  <si>
    <t>B8-2021/738</t>
  </si>
  <si>
    <t>Jauna maģistrālā cauruļvada montāža stacionārā “Latvijas Infektoloģijas centrs” no O2 tvertnes līdz Intensīvās terapijas nodaļai (13.korpuss)</t>
  </si>
  <si>
    <t>Nr 2</t>
  </si>
  <si>
    <t>B8-2021/737</t>
  </si>
  <si>
    <t>Skābekļa sistēmas iekšējo tīklu izbūve stacionāra “Latvijas Infektoloģijas centrs” 18. korpusa 4. nodaļai</t>
  </si>
  <si>
    <t>Nr 1</t>
  </si>
  <si>
    <t>Budžets</t>
  </si>
  <si>
    <t>Darbu apjoms</t>
  </si>
  <si>
    <t>Statuss</t>
  </si>
  <si>
    <t>Stacionārs</t>
  </si>
  <si>
    <t>Līguma Nr</t>
  </si>
  <si>
    <t>Darbu Tehniskā specifikācijas – Darba pieteikumi</t>
  </si>
  <si>
    <t>Nr</t>
  </si>
  <si>
    <t>Rēķins Nr.23/11/2021</t>
  </si>
  <si>
    <t>2021.gada 23.novembrī</t>
  </si>
  <si>
    <t>Tāme MG-06/10/2021-TPSC_MG Kolektora izbūve, jauna dubultā reduktora un jaunu maģistrāļu montāža.</t>
  </si>
  <si>
    <t>2021.gada 7.decembris</t>
  </si>
  <si>
    <t>Tāmes Nr.MG7/12/2021</t>
  </si>
  <si>
    <t>darbi skābekļa caurplūdes palielināšanai intensīvai terapijai</t>
  </si>
  <si>
    <t>2021.gada 6.decembris</t>
  </si>
  <si>
    <t>Tāmes Nr.MG6/12/2021</t>
  </si>
  <si>
    <r>
      <t>Summa ar</t>
    </r>
    <r>
      <rPr>
        <b/>
        <sz val="11"/>
        <color rgb="FFFF0000"/>
        <rFont val="Calibri"/>
        <family val="2"/>
        <scheme val="minor"/>
      </rPr>
      <t xml:space="preserve"> </t>
    </r>
    <r>
      <rPr>
        <b/>
        <sz val="11"/>
        <color theme="0"/>
        <rFont val="Calibri"/>
        <family val="2"/>
        <charset val="186"/>
        <scheme val="minor"/>
      </rPr>
      <t>PVN</t>
    </r>
  </si>
  <si>
    <t>2021.gads</t>
  </si>
  <si>
    <t>2022.gadam nepieciešamā summa, euro</t>
  </si>
  <si>
    <t>2022.gads I ceturksnis</t>
  </si>
  <si>
    <t>Summa (ar PVN)</t>
  </si>
  <si>
    <t>2021.gada augusts</t>
  </si>
  <si>
    <t>2021.gada oktobris</t>
  </si>
  <si>
    <t>2021.gada septembris</t>
  </si>
  <si>
    <t>2021.gada oktorbis</t>
  </si>
  <si>
    <t>2021.gada novembris</t>
  </si>
  <si>
    <t>2021.gada novemrbis</t>
  </si>
  <si>
    <t>1.pielikums</t>
  </si>
  <si>
    <t>Informatīvajam ziņojumam “Par medicīniskā skābekļa pieejamības nodrošināšanu un slimnīcu rezervju, kā arī valsts gultu rezervju veidošanu”</t>
  </si>
  <si>
    <t>Kopā nepieciešamais finansējums 2022. gadā</t>
  </si>
  <si>
    <t>Kopā nepieciešamais finansējums par  2021. gadā veiktajiem darbiem</t>
  </si>
  <si>
    <t>Pārējām slimnīcām</t>
  </si>
  <si>
    <t>Operatīvais datu panelis</t>
  </si>
  <si>
    <t>1.1. pielikums</t>
  </si>
  <si>
    <t>1.2. pielikums</t>
  </si>
  <si>
    <t>1.3. pielikums</t>
  </si>
  <si>
    <t>1.4. pielikums</t>
  </si>
  <si>
    <t>1.5. pielikums</t>
  </si>
  <si>
    <t>1.6. pielikums</t>
  </si>
  <si>
    <t>1.7. pielikums</t>
  </si>
  <si>
    <t>1.8. pielikums</t>
  </si>
  <si>
    <t>1.9. pielikums</t>
  </si>
  <si>
    <t>1.10. pielikums</t>
  </si>
  <si>
    <t>1.11. pielikums</t>
  </si>
  <si>
    <t>1.12. pielikums</t>
  </si>
  <si>
    <t>1.13. pielikums</t>
  </si>
  <si>
    <t>1.14. pielikums</t>
  </si>
  <si>
    <t>1.15. pielikums</t>
  </si>
  <si>
    <t>1.16. pielikums</t>
  </si>
  <si>
    <t>1.17. pielikums</t>
  </si>
  <si>
    <t>2021.gads novembris</t>
  </si>
  <si>
    <t>2021.gads oktobris</t>
  </si>
  <si>
    <t>Tāmes iesniegtas</t>
  </si>
  <si>
    <t>2021.gads janvāris</t>
  </si>
  <si>
    <t>2021.gads decembris</t>
  </si>
  <si>
    <t>2021.gadā veiktie pasākumi summa, euro</t>
  </si>
  <si>
    <t>Novembris 2021</t>
  </si>
  <si>
    <t>Decembris 2021</t>
  </si>
  <si>
    <t>Septembris 2021</t>
  </si>
  <si>
    <t>Oktobris 2021</t>
  </si>
  <si>
    <t>Aprīlis 2021</t>
  </si>
  <si>
    <t>Izpilde, mēnesis</t>
  </si>
  <si>
    <t>tiek veikti darbi</t>
  </si>
  <si>
    <t>Janvāris 2022</t>
  </si>
  <si>
    <t>notiek darbu pieņemšana</t>
  </si>
  <si>
    <t>8. Biķernieki: Skābekļa padeves līniju nomaiņa atbilstoši patēriņam (ārējo tīklu maģistrāle, iekšējie tīkli izbūve un renovācija)</t>
  </si>
  <si>
    <t>B8-2021/834</t>
  </si>
  <si>
    <t>B8-2021/835</t>
  </si>
  <si>
    <t>B8-2021/829</t>
  </si>
  <si>
    <t>B8-2021/851</t>
  </si>
  <si>
    <t>B8-2021/852</t>
  </si>
  <si>
    <t>B8-2021/836</t>
  </si>
  <si>
    <t>B8-2021/853</t>
  </si>
  <si>
    <t>B8-2021/839</t>
  </si>
  <si>
    <t>Kopā</t>
  </si>
  <si>
    <r>
      <rPr>
        <sz val="7"/>
        <color theme="1"/>
        <rFont val="Times New Roman"/>
        <family val="1"/>
        <charset val="186"/>
      </rPr>
      <t xml:space="preserve"> </t>
    </r>
    <r>
      <rPr>
        <sz val="11"/>
        <color theme="1"/>
        <rFont val="Calibri"/>
        <family val="2"/>
        <charset val="186"/>
        <scheme val="minor"/>
      </rPr>
      <t xml:space="preserve">Mega Pack 4 pieslēgumu pie esošai sistēmai </t>
    </r>
    <r>
      <rPr>
        <sz val="11"/>
        <color theme="1"/>
        <rFont val="Calibri"/>
        <family val="1"/>
        <charset val="186"/>
        <scheme val="minor"/>
      </rPr>
      <t>(Gāzes aprīkojuma iegāde un montāžas darbi Nr.365)</t>
    </r>
  </si>
  <si>
    <t xml:space="preserve">jaunas medicīniskā skābekļa centralizēto pieslēgumu izveides aprūpes nodaļā </t>
  </si>
  <si>
    <t>092-24724;DRS210175; DRS210148;DRS210267; SSP210224;DRS210885; DRS210803</t>
  </si>
  <si>
    <t>jaunas medicīniskā skābekļa centralizēto pieslēgumu izveides traumpunktā (uzņemšanas nodaļa)</t>
  </si>
  <si>
    <t>jaunas medicīniskā skābekļa centralizēto pieslēgumu izveides aprupes nodaļā</t>
  </si>
  <si>
    <t>2021.gads februāris</t>
  </si>
  <si>
    <t>2021. gads februāris, marts, aprīlis, oktobris</t>
  </si>
  <si>
    <t xml:space="preserve">Līgums Nr.P-21/0203 </t>
  </si>
  <si>
    <t>2021.gads novembris, decembris</t>
  </si>
  <si>
    <t>2021.gads oktobris-decembris</t>
  </si>
  <si>
    <t>2021.gads, maijs</t>
  </si>
  <si>
    <t>2021.gads, novembris</t>
  </si>
  <si>
    <t>2022.gads, janvāris</t>
  </si>
  <si>
    <t xml:space="preserve">Slimnīcas iekšējie rekonstrukcijas darbi (jaunas medicīniskā skābekļa centralizēto pieslēgumu izveides, ar visiem nepieciešamajiem izejmateriāliem: kapara caurules, ventīļi, reduktori, kanāli, konsoles, ligzdas utt.)veikti iekšējie sistēmas atjaunošanas darbi </t>
  </si>
  <si>
    <t>2021.gads, februāris</t>
  </si>
  <si>
    <t>skābekļa sistēmas izbūve</t>
  </si>
  <si>
    <t>2021. gada decembris</t>
  </si>
  <si>
    <t>Tāme</t>
  </si>
  <si>
    <t>Ieguldīšana pamatkapiālā 2022.gadā ( tai skaitā 2021.gadā veiktie darbi)</t>
  </si>
  <si>
    <t>Pavisam kopā nepieciešams, euro</t>
  </si>
  <si>
    <t>Pavisam kopā nepieciešams 2022. gadā</t>
  </si>
  <si>
    <t>Oktbris 2022</t>
  </si>
  <si>
    <t>2022.gads oktobris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</si>
</sst>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8" formatCode="&quot;€&quot;\ #,##0.00;[Red]\-&quot;€&quot;\ #,##0.00"/>
    <numFmt numFmtId="44" formatCode="_-&quot;€&quot;\ * #,##0.00_-;\-&quot;€&quot;\ * #,##0.00_-;_-&quot;€&quot;\ * &quot;-&quot;??_-;_-@_-"/>
    <numFmt numFmtId="164" formatCode="&quot;€&quot;\ #,##0.00"/>
    <numFmt numFmtId="165" formatCode="#,##0.00\ &quot;€&quot;"/>
  </numFmts>
  <fonts count="22" x14ac:knownFonts="1">
    <font>
      <sz val="11"/>
      <color theme="1"/>
      <name val="Calibri"/>
      <family val="2"/>
      <charset val="186"/>
      <scheme val="minor"/>
    </font>
    <font>
      <sz val="11"/>
      <color theme="1"/>
      <name val="Calibri"/>
      <family val="2"/>
      <charset val="186"/>
      <scheme val="minor"/>
    </font>
    <font>
      <b/>
      <sz val="11"/>
      <color theme="0"/>
      <name val="Calibri"/>
      <family val="2"/>
      <charset val="186"/>
      <scheme val="minor"/>
    </font>
    <font>
      <sz val="8"/>
      <name val="Calibri"/>
      <family val="2"/>
      <charset val="186"/>
      <scheme val="minor"/>
    </font>
    <font>
      <sz val="11"/>
      <color rgb="FFFF0000"/>
      <name val="Calibri"/>
      <family val="2"/>
      <charset val="186"/>
      <scheme val="minor"/>
    </font>
    <font>
      <b/>
      <sz val="11"/>
      <color theme="1"/>
      <name val="Calibri"/>
      <family val="2"/>
      <charset val="186"/>
      <scheme val="minor"/>
    </font>
    <font>
      <sz val="12"/>
      <color theme="1"/>
      <name val="Times New Roman"/>
      <family val="1"/>
      <charset val="186"/>
    </font>
    <font>
      <b/>
      <sz val="11"/>
      <color rgb="FFFF0000"/>
      <name val="Calibri"/>
      <family val="2"/>
      <scheme val="minor"/>
    </font>
    <font>
      <sz val="11"/>
      <color theme="1"/>
      <name val="Calibri"/>
      <family val="2"/>
      <scheme val="minor"/>
    </font>
    <font>
      <b/>
      <sz val="11"/>
      <color theme="1"/>
      <name val="Calibri"/>
      <family val="2"/>
      <scheme val="minor"/>
    </font>
    <font>
      <sz val="11"/>
      <name val="Calibri"/>
      <family val="2"/>
      <charset val="186"/>
      <scheme val="minor"/>
    </font>
    <font>
      <sz val="11"/>
      <name val="Calibri"/>
      <family val="2"/>
      <scheme val="minor"/>
    </font>
    <font>
      <b/>
      <sz val="11"/>
      <name val="Calibri"/>
      <family val="2"/>
      <charset val="186"/>
      <scheme val="minor"/>
    </font>
    <font>
      <sz val="11"/>
      <color rgb="FF000000"/>
      <name val="Calibri"/>
      <family val="2"/>
      <charset val="186"/>
      <scheme val="minor"/>
    </font>
    <font>
      <sz val="11"/>
      <color rgb="FF201F1E"/>
      <name val="Calibri"/>
      <family val="2"/>
      <charset val="186"/>
      <scheme val="minor"/>
    </font>
    <font>
      <sz val="11"/>
      <color rgb="FF000000"/>
      <name val="Calibri"/>
      <family val="2"/>
      <charset val="186"/>
    </font>
    <font>
      <b/>
      <sz val="10"/>
      <color theme="0"/>
      <name val="Calibri"/>
      <family val="2"/>
      <charset val="186"/>
    </font>
    <font>
      <sz val="9"/>
      <color rgb="FF000000"/>
      <name val="Calibri"/>
      <family val="2"/>
      <charset val="186"/>
    </font>
    <font>
      <b/>
      <sz val="11"/>
      <color rgb="FF000000"/>
      <name val="Calibri"/>
      <family val="2"/>
      <charset val="186"/>
    </font>
    <font>
      <sz val="7"/>
      <color theme="1"/>
      <name val="Times New Roman"/>
      <family val="1"/>
      <charset val="186"/>
    </font>
    <font>
      <sz val="11"/>
      <color theme="1"/>
      <name val="Calibri"/>
      <family val="1"/>
      <charset val="186"/>
      <scheme val="minor"/>
    </font>
    <font>
      <sz val="10"/>
      <color rgb="FF201F1E"/>
      <name val="Source Sans Pro"/>
      <family val="2"/>
    </font>
  </fonts>
  <fills count="6">
    <fill>
      <patternFill patternType="none"/>
    </fill>
    <fill>
      <patternFill patternType="gray125"/>
    </fill>
    <fill>
      <patternFill patternType="solid">
        <fgColor theme="4" tint="0.79998168889431442"/>
        <bgColor theme="4" tint="0.79998168889431442"/>
      </patternFill>
    </fill>
    <fill>
      <patternFill patternType="solid">
        <fgColor theme="4"/>
        <bgColor theme="4"/>
      </patternFill>
    </fill>
    <fill>
      <patternFill patternType="solid">
        <fgColor theme="4" tint="0.79998168889431442"/>
        <bgColor indexed="64"/>
      </patternFill>
    </fill>
    <fill>
      <patternFill patternType="solid">
        <fgColor rgb="FF92D050"/>
        <bgColor indexed="64"/>
      </patternFill>
    </fill>
  </fills>
  <borders count="11">
    <border>
      <left/>
      <right/>
      <top/>
      <bottom/>
      <diagonal/>
    </border>
    <border>
      <left style="thin">
        <color theme="4" tint="0.39997558519241921"/>
      </left>
      <right/>
      <top style="thin">
        <color theme="4" tint="0.39997558519241921"/>
      </top>
      <bottom style="thin">
        <color theme="4" tint="0.39997558519241921"/>
      </bottom>
      <diagonal/>
    </border>
    <border>
      <left/>
      <right/>
      <top style="thin">
        <color theme="4" tint="0.39997558519241921"/>
      </top>
      <bottom style="thin">
        <color theme="4" tint="0.39997558519241921"/>
      </bottom>
      <diagonal/>
    </border>
    <border>
      <left style="thin">
        <color theme="4" tint="0.39997558519241921"/>
      </left>
      <right/>
      <top style="double">
        <color theme="4"/>
      </top>
      <bottom style="thin">
        <color theme="4" tint="0.39997558519241921"/>
      </bottom>
      <diagonal/>
    </border>
    <border>
      <left/>
      <right/>
      <top style="double">
        <color theme="4"/>
      </top>
      <bottom style="thin">
        <color theme="4" tint="0.39997558519241921"/>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bottom style="thin">
        <color rgb="FF000000"/>
      </bottom>
      <diagonal/>
    </border>
    <border>
      <left/>
      <right/>
      <top style="thin">
        <color theme="4" tint="0.39997558519241921"/>
      </top>
      <bottom/>
      <diagonal/>
    </border>
    <border>
      <left/>
      <right/>
      <top/>
      <bottom style="thin">
        <color theme="4" tint="0.39997558519241921"/>
      </bottom>
      <diagonal/>
    </border>
    <border>
      <left/>
      <right style="medium">
        <color indexed="64"/>
      </right>
      <top/>
      <bottom/>
      <diagonal/>
    </border>
    <border>
      <left style="thin">
        <color theme="4" tint="0.39997558519241921"/>
      </left>
      <right/>
      <top/>
      <bottom style="thin">
        <color theme="4" tint="0.39997558519241921"/>
      </bottom>
      <diagonal/>
    </border>
  </borders>
  <cellStyleXfs count="3">
    <xf numFmtId="0" fontId="0" fillId="0" borderId="0"/>
    <xf numFmtId="44" fontId="1" fillId="0" borderId="0" applyFont="0" applyFill="0" applyBorder="0" applyAlignment="0" applyProtection="0"/>
    <xf numFmtId="0" fontId="15" fillId="0" borderId="0"/>
  </cellStyleXfs>
  <cellXfs count="127">
    <xf numFmtId="0" fontId="0" fillId="0" borderId="0" xfId="0"/>
    <xf numFmtId="0" fontId="0" fillId="0" borderId="0" xfId="0" applyAlignment="1">
      <alignment wrapText="1"/>
    </xf>
    <xf numFmtId="44" fontId="0" fillId="0" borderId="0" xfId="0" applyNumberFormat="1"/>
    <xf numFmtId="0" fontId="2" fillId="3" borderId="1" xfId="0" applyFont="1" applyFill="1" applyBorder="1"/>
    <xf numFmtId="0" fontId="5" fillId="0" borderId="4" xfId="0" applyFont="1" applyBorder="1"/>
    <xf numFmtId="0" fontId="0" fillId="0" borderId="0" xfId="0" applyAlignment="1">
      <alignment vertical="top" wrapText="1"/>
    </xf>
    <xf numFmtId="0" fontId="0" fillId="0" borderId="0" xfId="0" applyAlignment="1">
      <alignment vertical="top"/>
    </xf>
    <xf numFmtId="44" fontId="0" fillId="0" borderId="0" xfId="1" applyFont="1" applyAlignment="1">
      <alignment vertical="top"/>
    </xf>
    <xf numFmtId="44" fontId="0" fillId="0" borderId="0" xfId="0" applyNumberFormat="1" applyAlignment="1">
      <alignment vertical="top"/>
    </xf>
    <xf numFmtId="0" fontId="6" fillId="0" borderId="0" xfId="0" applyFont="1" applyAlignment="1">
      <alignment vertical="top"/>
    </xf>
    <xf numFmtId="0" fontId="8" fillId="4" borderId="5" xfId="0" applyFont="1" applyFill="1" applyBorder="1" applyAlignment="1">
      <alignment horizontal="left" vertical="top" wrapText="1"/>
    </xf>
    <xf numFmtId="0" fontId="4" fillId="0" borderId="0" xfId="0" applyFont="1" applyAlignment="1">
      <alignment vertical="top" wrapText="1"/>
    </xf>
    <xf numFmtId="0" fontId="4" fillId="0" borderId="0" xfId="0" applyFont="1"/>
    <xf numFmtId="0" fontId="2" fillId="3" borderId="1" xfId="0" applyFont="1" applyFill="1" applyBorder="1" applyAlignment="1">
      <alignment vertical="top" wrapText="1"/>
    </xf>
    <xf numFmtId="0" fontId="2" fillId="3" borderId="2" xfId="0" applyFont="1" applyFill="1" applyBorder="1" applyAlignment="1">
      <alignment vertical="top"/>
    </xf>
    <xf numFmtId="0" fontId="2" fillId="3" borderId="2" xfId="0" applyFont="1" applyFill="1" applyBorder="1" applyAlignment="1">
      <alignment vertical="top" wrapText="1"/>
    </xf>
    <xf numFmtId="0" fontId="0" fillId="2" borderId="1" xfId="0" applyFont="1" applyFill="1" applyBorder="1" applyAlignment="1">
      <alignment vertical="top" wrapText="1"/>
    </xf>
    <xf numFmtId="0" fontId="0" fillId="2" borderId="2" xfId="0" applyFont="1" applyFill="1" applyBorder="1" applyAlignment="1">
      <alignment vertical="top"/>
    </xf>
    <xf numFmtId="44" fontId="0" fillId="2" borderId="2" xfId="1" applyNumberFormat="1" applyFont="1" applyFill="1" applyBorder="1" applyAlignment="1">
      <alignment vertical="top"/>
    </xf>
    <xf numFmtId="0" fontId="0" fillId="2" borderId="2" xfId="0" applyFont="1" applyFill="1" applyBorder="1" applyAlignment="1">
      <alignment vertical="top" wrapText="1"/>
    </xf>
    <xf numFmtId="0" fontId="5" fillId="0" borderId="3" xfId="0" applyFont="1" applyBorder="1" applyAlignment="1">
      <alignment vertical="top"/>
    </xf>
    <xf numFmtId="0" fontId="5" fillId="0" borderId="4" xfId="0" applyFont="1" applyBorder="1" applyAlignment="1">
      <alignment vertical="top"/>
    </xf>
    <xf numFmtId="44" fontId="5" fillId="0" borderId="4" xfId="0" applyNumberFormat="1" applyFont="1" applyBorder="1" applyAlignment="1">
      <alignment vertical="top"/>
    </xf>
    <xf numFmtId="0" fontId="0" fillId="0" borderId="2" xfId="0" applyFont="1" applyBorder="1" applyAlignment="1">
      <alignment vertical="top"/>
    </xf>
    <xf numFmtId="44" fontId="0" fillId="0" borderId="2" xfId="1" applyNumberFormat="1" applyFont="1" applyBorder="1" applyAlignment="1">
      <alignment vertical="top"/>
    </xf>
    <xf numFmtId="0" fontId="4" fillId="0" borderId="0" xfId="0" applyFont="1" applyAlignment="1"/>
    <xf numFmtId="0" fontId="10" fillId="0" borderId="1" xfId="0" applyFont="1" applyBorder="1" applyAlignment="1">
      <alignment vertical="top" wrapText="1"/>
    </xf>
    <xf numFmtId="0" fontId="4" fillId="2" borderId="1" xfId="0" applyFont="1" applyFill="1" applyBorder="1" applyAlignment="1">
      <alignment vertical="top" wrapText="1"/>
    </xf>
    <xf numFmtId="0" fontId="10" fillId="2" borderId="1" xfId="0" applyFont="1" applyFill="1" applyBorder="1" applyAlignment="1">
      <alignment vertical="top" wrapText="1"/>
    </xf>
    <xf numFmtId="7" fontId="0" fillId="0" borderId="0" xfId="1" applyNumberFormat="1" applyFont="1" applyAlignment="1">
      <alignment vertical="top"/>
    </xf>
    <xf numFmtId="7" fontId="0" fillId="0" borderId="0" xfId="0" applyNumberFormat="1" applyAlignment="1">
      <alignment vertical="top"/>
    </xf>
    <xf numFmtId="0" fontId="11" fillId="0" borderId="0" xfId="0" applyFont="1"/>
    <xf numFmtId="0" fontId="11" fillId="0" borderId="5" xfId="0" applyFont="1" applyBorder="1" applyAlignment="1">
      <alignment vertical="top" wrapText="1"/>
    </xf>
    <xf numFmtId="0" fontId="11" fillId="0" borderId="5" xfId="0" applyFont="1" applyBorder="1"/>
    <xf numFmtId="0" fontId="11" fillId="0" borderId="5" xfId="0" applyFont="1" applyBorder="1" applyAlignment="1">
      <alignment vertical="top"/>
    </xf>
    <xf numFmtId="0" fontId="11" fillId="0" borderId="5" xfId="0" applyFont="1" applyBorder="1" applyAlignment="1">
      <alignment horizontal="left" vertical="top" wrapText="1"/>
    </xf>
    <xf numFmtId="164" fontId="5" fillId="0" borderId="0" xfId="0" applyNumberFormat="1" applyFont="1"/>
    <xf numFmtId="8" fontId="0" fillId="0" borderId="0" xfId="0" applyNumberFormat="1" applyAlignment="1">
      <alignment vertical="top"/>
    </xf>
    <xf numFmtId="164" fontId="0" fillId="0" borderId="0" xfId="0" applyNumberFormat="1" applyFont="1"/>
    <xf numFmtId="7" fontId="5" fillId="0" borderId="4" xfId="0" applyNumberFormat="1" applyFont="1" applyBorder="1" applyAlignment="1">
      <alignment vertical="top"/>
    </xf>
    <xf numFmtId="0" fontId="0" fillId="0" borderId="2" xfId="0" applyFont="1" applyFill="1" applyBorder="1" applyAlignment="1">
      <alignment vertical="top" wrapText="1"/>
    </xf>
    <xf numFmtId="0" fontId="10" fillId="0" borderId="0" xfId="0" applyFont="1" applyAlignment="1">
      <alignment vertical="top" wrapText="1"/>
    </xf>
    <xf numFmtId="0" fontId="10" fillId="0" borderId="0" xfId="0" applyFont="1"/>
    <xf numFmtId="4" fontId="10" fillId="0" borderId="0" xfId="0" applyNumberFormat="1" applyFont="1"/>
    <xf numFmtId="8" fontId="10" fillId="0" borderId="0" xfId="0" applyNumberFormat="1" applyFont="1" applyAlignment="1">
      <alignment vertical="top"/>
    </xf>
    <xf numFmtId="8" fontId="10" fillId="5" borderId="0" xfId="0" applyNumberFormat="1" applyFont="1" applyFill="1" applyAlignment="1">
      <alignment vertical="top"/>
    </xf>
    <xf numFmtId="0" fontId="11" fillId="0" borderId="1" xfId="0" applyFont="1" applyBorder="1" applyAlignment="1">
      <alignment vertical="top" wrapText="1"/>
    </xf>
    <xf numFmtId="0" fontId="12" fillId="0" borderId="0" xfId="0" applyFont="1"/>
    <xf numFmtId="0" fontId="13" fillId="0" borderId="0" xfId="0" applyFont="1" applyAlignment="1">
      <alignment wrapText="1"/>
    </xf>
    <xf numFmtId="0" fontId="0" fillId="0" borderId="1" xfId="0" applyFont="1" applyFill="1" applyBorder="1" applyAlignment="1">
      <alignment vertical="top" wrapText="1"/>
    </xf>
    <xf numFmtId="0" fontId="0" fillId="0" borderId="2" xfId="0" applyFont="1" applyFill="1" applyBorder="1" applyAlignment="1">
      <alignment vertical="top"/>
    </xf>
    <xf numFmtId="44" fontId="0" fillId="0" borderId="2" xfId="1" applyNumberFormat="1" applyFont="1" applyFill="1" applyBorder="1" applyAlignment="1">
      <alignment vertical="top"/>
    </xf>
    <xf numFmtId="0" fontId="10" fillId="0" borderId="1" xfId="0" applyFont="1" applyFill="1" applyBorder="1" applyAlignment="1">
      <alignment vertical="top" wrapText="1"/>
    </xf>
    <xf numFmtId="44" fontId="0" fillId="4" borderId="2" xfId="1" applyNumberFormat="1" applyFont="1" applyFill="1" applyBorder="1" applyAlignment="1">
      <alignment vertical="top"/>
    </xf>
    <xf numFmtId="0" fontId="15" fillId="0" borderId="0" xfId="2"/>
    <xf numFmtId="0" fontId="15" fillId="0" borderId="0" xfId="2" applyAlignment="1">
      <alignment wrapText="1"/>
    </xf>
    <xf numFmtId="0" fontId="15" fillId="0" borderId="0" xfId="0" applyFont="1" applyAlignment="1">
      <alignment wrapText="1"/>
    </xf>
    <xf numFmtId="165" fontId="15" fillId="0" borderId="0" xfId="0" applyNumberFormat="1" applyFont="1"/>
    <xf numFmtId="0" fontId="15" fillId="0" borderId="0" xfId="0" applyFont="1"/>
    <xf numFmtId="0" fontId="15" fillId="0" borderId="0" xfId="0" applyFont="1" applyAlignment="1">
      <alignment horizontal="left" vertical="top" wrapText="1"/>
    </xf>
    <xf numFmtId="165" fontId="15" fillId="0" borderId="0" xfId="2" applyNumberFormat="1"/>
    <xf numFmtId="165" fontId="15" fillId="0" borderId="0" xfId="2" applyNumberFormat="1" applyAlignment="1">
      <alignment wrapText="1"/>
    </xf>
    <xf numFmtId="0" fontId="15" fillId="0" borderId="0" xfId="2" applyAlignment="1">
      <alignment horizontal="left" vertical="top" wrapText="1"/>
    </xf>
    <xf numFmtId="0" fontId="16" fillId="0" borderId="6" xfId="2" applyFont="1" applyBorder="1" applyAlignment="1">
      <alignment horizontal="center" vertical="center" wrapText="1"/>
    </xf>
    <xf numFmtId="0" fontId="16" fillId="0" borderId="6" xfId="2" applyFont="1" applyBorder="1" applyAlignment="1">
      <alignment horizontal="center" vertical="center"/>
    </xf>
    <xf numFmtId="165" fontId="17" fillId="0" borderId="0" xfId="2" applyNumberFormat="1" applyFont="1"/>
    <xf numFmtId="0" fontId="17" fillId="0" borderId="0" xfId="2" applyFont="1" applyAlignment="1">
      <alignment horizontal="right" vertical="center" wrapText="1"/>
    </xf>
    <xf numFmtId="0" fontId="0" fillId="0" borderId="7" xfId="0" applyFont="1" applyFill="1" applyBorder="1" applyAlignment="1">
      <alignment vertical="top"/>
    </xf>
    <xf numFmtId="44" fontId="0" fillId="0" borderId="7" xfId="1" applyNumberFormat="1" applyFont="1" applyFill="1" applyBorder="1" applyAlignment="1">
      <alignment vertical="top"/>
    </xf>
    <xf numFmtId="0" fontId="0" fillId="0" borderId="7" xfId="0" applyFont="1" applyFill="1" applyBorder="1" applyAlignment="1">
      <alignment vertical="top" wrapText="1"/>
    </xf>
    <xf numFmtId="0" fontId="0" fillId="0" borderId="0" xfId="0" applyFont="1" applyFill="1" applyBorder="1" applyAlignment="1">
      <alignment vertical="top" wrapText="1"/>
    </xf>
    <xf numFmtId="0" fontId="0" fillId="0" borderId="0" xfId="0" applyFont="1" applyFill="1" applyBorder="1" applyAlignment="1">
      <alignment vertical="top"/>
    </xf>
    <xf numFmtId="44" fontId="0" fillId="0" borderId="0" xfId="1" applyNumberFormat="1" applyFont="1" applyFill="1" applyBorder="1" applyAlignment="1">
      <alignment vertical="top"/>
    </xf>
    <xf numFmtId="0" fontId="0" fillId="0" borderId="0" xfId="0" applyFill="1" applyBorder="1"/>
    <xf numFmtId="0" fontId="2" fillId="0" borderId="0" xfId="0" applyFont="1" applyFill="1" applyBorder="1" applyAlignment="1">
      <alignment vertical="top" wrapText="1"/>
    </xf>
    <xf numFmtId="0" fontId="2" fillId="0" borderId="0" xfId="0" applyFont="1" applyFill="1" applyBorder="1" applyAlignment="1">
      <alignment vertical="top"/>
    </xf>
    <xf numFmtId="0" fontId="4" fillId="0" borderId="0" xfId="0" applyFont="1" applyAlignment="1">
      <alignment vertical="top"/>
    </xf>
    <xf numFmtId="44" fontId="4" fillId="0" borderId="0" xfId="1" applyFont="1" applyAlignment="1">
      <alignment vertical="top"/>
    </xf>
    <xf numFmtId="44" fontId="10" fillId="0" borderId="2" xfId="1" applyNumberFormat="1" applyFont="1" applyFill="1" applyBorder="1" applyAlignment="1">
      <alignment vertical="top"/>
    </xf>
    <xf numFmtId="0" fontId="10" fillId="0" borderId="2" xfId="0" applyFont="1" applyFill="1" applyBorder="1" applyAlignment="1">
      <alignment vertical="top" wrapText="1"/>
    </xf>
    <xf numFmtId="44" fontId="10" fillId="2" borderId="2" xfId="1" applyNumberFormat="1" applyFont="1" applyFill="1" applyBorder="1" applyAlignment="1">
      <alignment vertical="top"/>
    </xf>
    <xf numFmtId="0" fontId="10" fillId="2" borderId="2" xfId="0" applyFont="1" applyFill="1" applyBorder="1" applyAlignment="1">
      <alignment vertical="top" wrapText="1"/>
    </xf>
    <xf numFmtId="0" fontId="11" fillId="0" borderId="0" xfId="0" applyFont="1" applyAlignment="1">
      <alignment vertical="top" wrapText="1"/>
    </xf>
    <xf numFmtId="44" fontId="10" fillId="0" borderId="0" xfId="0" applyNumberFormat="1" applyFont="1"/>
    <xf numFmtId="0" fontId="10" fillId="0" borderId="1" xfId="0" applyFont="1" applyFill="1" applyBorder="1" applyAlignment="1">
      <alignment wrapText="1"/>
    </xf>
    <xf numFmtId="164" fontId="15" fillId="0" borderId="0" xfId="2" applyNumberFormat="1"/>
    <xf numFmtId="8" fontId="0" fillId="0" borderId="0" xfId="0" applyNumberFormat="1"/>
    <xf numFmtId="44" fontId="9" fillId="0" borderId="0" xfId="0" applyNumberFormat="1" applyFont="1"/>
    <xf numFmtId="0" fontId="14" fillId="4" borderId="0" xfId="0" applyFont="1" applyFill="1" applyAlignment="1">
      <alignment horizontal="left" wrapText="1"/>
    </xf>
    <xf numFmtId="7" fontId="0" fillId="0" borderId="0" xfId="0" applyNumberFormat="1"/>
    <xf numFmtId="164" fontId="0" fillId="0" borderId="0" xfId="0" applyNumberFormat="1"/>
    <xf numFmtId="49" fontId="15" fillId="0" borderId="0" xfId="2" applyNumberFormat="1"/>
    <xf numFmtId="165" fontId="18" fillId="0" borderId="0" xfId="0" applyNumberFormat="1" applyFont="1"/>
    <xf numFmtId="0" fontId="1" fillId="0" borderId="9" xfId="0" applyFont="1" applyBorder="1" applyAlignment="1">
      <alignment vertical="center" wrapText="1"/>
    </xf>
    <xf numFmtId="0" fontId="20" fillId="0" borderId="0" xfId="0" applyFont="1" applyAlignment="1">
      <alignment vertical="top" wrapText="1"/>
    </xf>
    <xf numFmtId="0" fontId="0" fillId="2" borderId="1" xfId="0" applyFill="1" applyBorder="1" applyAlignment="1">
      <alignment vertical="top" wrapText="1"/>
    </xf>
    <xf numFmtId="0" fontId="0" fillId="2" borderId="2" xfId="0" applyFill="1" applyBorder="1" applyAlignment="1">
      <alignment vertical="top"/>
    </xf>
    <xf numFmtId="44" fontId="0" fillId="2" borderId="2" xfId="1" applyFont="1" applyFill="1" applyBorder="1" applyAlignment="1">
      <alignment vertical="top"/>
    </xf>
    <xf numFmtId="0" fontId="0" fillId="2" borderId="2" xfId="0" applyFill="1" applyBorder="1" applyAlignment="1">
      <alignment vertical="top" wrapText="1"/>
    </xf>
    <xf numFmtId="0" fontId="0" fillId="0" borderId="2" xfId="0" applyBorder="1" applyAlignment="1">
      <alignment vertical="top"/>
    </xf>
    <xf numFmtId="44" fontId="0" fillId="0" borderId="2" xfId="1" applyFont="1" applyBorder="1" applyAlignment="1">
      <alignment vertical="top"/>
    </xf>
    <xf numFmtId="0" fontId="10" fillId="0" borderId="0" xfId="0" applyFont="1" applyFill="1" applyAlignment="1">
      <alignment wrapText="1"/>
    </xf>
    <xf numFmtId="165" fontId="10" fillId="0" borderId="0" xfId="0" applyNumberFormat="1" applyFont="1" applyFill="1"/>
    <xf numFmtId="44" fontId="10" fillId="0" borderId="0" xfId="0" applyNumberFormat="1" applyFont="1" applyFill="1"/>
    <xf numFmtId="7" fontId="10" fillId="0" borderId="0" xfId="0" applyNumberFormat="1" applyFont="1" applyFill="1"/>
    <xf numFmtId="44" fontId="0" fillId="2" borderId="8" xfId="1" applyNumberFormat="1" applyFont="1" applyFill="1" applyBorder="1" applyAlignment="1">
      <alignment vertical="top"/>
    </xf>
    <xf numFmtId="0" fontId="10" fillId="2" borderId="10" xfId="0" applyFont="1" applyFill="1" applyBorder="1" applyAlignment="1">
      <alignment vertical="top" wrapText="1"/>
    </xf>
    <xf numFmtId="0" fontId="0" fillId="2" borderId="8" xfId="0" applyFont="1" applyFill="1" applyBorder="1" applyAlignment="1">
      <alignment vertical="top"/>
    </xf>
    <xf numFmtId="0" fontId="0" fillId="2" borderId="8" xfId="0" applyFont="1" applyFill="1" applyBorder="1" applyAlignment="1">
      <alignment vertical="top" wrapText="1"/>
    </xf>
    <xf numFmtId="0" fontId="21" fillId="0" borderId="0" xfId="0" applyFont="1"/>
    <xf numFmtId="0" fontId="0" fillId="0" borderId="0" xfId="0" applyAlignment="1">
      <alignment horizontal="left" wrapText="1"/>
    </xf>
    <xf numFmtId="44" fontId="0" fillId="2" borderId="7" xfId="1" applyNumberFormat="1" applyFont="1" applyFill="1" applyBorder="1" applyAlignment="1">
      <alignment vertical="top"/>
    </xf>
    <xf numFmtId="0" fontId="0" fillId="2" borderId="7" xfId="0" applyFont="1" applyFill="1" applyBorder="1" applyAlignment="1">
      <alignment vertical="top" wrapText="1"/>
    </xf>
    <xf numFmtId="0" fontId="5" fillId="0" borderId="0" xfId="0" applyFont="1"/>
    <xf numFmtId="0" fontId="10" fillId="0" borderId="1" xfId="0" applyFont="1" applyFill="1" applyBorder="1" applyAlignment="1">
      <alignment horizontal="center" vertical="center" wrapText="1"/>
    </xf>
    <xf numFmtId="0" fontId="10" fillId="0" borderId="1" xfId="0" applyFont="1" applyFill="1" applyBorder="1" applyAlignment="1">
      <alignment horizontal="left" vertical="center" wrapText="1"/>
    </xf>
    <xf numFmtId="0" fontId="10" fillId="4" borderId="0" xfId="0" applyFont="1" applyFill="1" applyAlignment="1">
      <alignment horizontal="center" vertical="center"/>
    </xf>
    <xf numFmtId="0" fontId="10" fillId="4" borderId="0" xfId="0" applyFont="1" applyFill="1" applyAlignment="1">
      <alignment wrapText="1"/>
    </xf>
    <xf numFmtId="0" fontId="0" fillId="0" borderId="0" xfId="0" applyFill="1"/>
    <xf numFmtId="0" fontId="10" fillId="4" borderId="1" xfId="0" applyFont="1" applyFill="1" applyBorder="1" applyAlignment="1">
      <alignment horizontal="center" vertical="center" wrapText="1"/>
    </xf>
    <xf numFmtId="0" fontId="10" fillId="4" borderId="1" xfId="0" applyFont="1" applyFill="1" applyBorder="1" applyAlignment="1">
      <alignment wrapText="1"/>
    </xf>
    <xf numFmtId="164" fontId="0" fillId="0" borderId="0" xfId="0" applyNumberFormat="1" applyFill="1"/>
    <xf numFmtId="0" fontId="10" fillId="4" borderId="2" xfId="0" applyFont="1" applyFill="1" applyBorder="1" applyAlignment="1">
      <alignment vertical="top" wrapText="1"/>
    </xf>
    <xf numFmtId="0" fontId="0" fillId="0" borderId="0" xfId="0" applyAlignment="1">
      <alignment horizontal="left" wrapText="1"/>
    </xf>
    <xf numFmtId="0" fontId="0" fillId="0" borderId="0" xfId="0" applyAlignment="1">
      <alignment horizontal="center" wrapText="1"/>
    </xf>
    <xf numFmtId="0" fontId="10" fillId="0" borderId="0" xfId="0" applyFont="1" applyAlignment="1">
      <alignment horizontal="center" vertical="top" wrapText="1"/>
    </xf>
    <xf numFmtId="0" fontId="10" fillId="0" borderId="0" xfId="0" applyFont="1" applyFill="1" applyAlignment="1">
      <alignment horizontal="center" vertical="top" wrapText="1"/>
    </xf>
  </cellXfs>
  <cellStyles count="3">
    <cellStyle name="Currency" xfId="1" builtinId="4"/>
    <cellStyle name="Normal" xfId="0" builtinId="0"/>
    <cellStyle name="Normal 2" xfId="2" xr:uid="{0DF45738-807C-4B96-93DC-8B4149B4A1C1}"/>
  </cellStyles>
  <dxfs count="110">
    <dxf>
      <alignment horizontal="general" vertical="top" textRotation="0" wrapText="0" indent="0" justifyLastLine="0" shrinkToFit="0" readingOrder="0"/>
    </dxf>
    <dxf>
      <numFmt numFmtId="34" formatCode="_-&quot;€&quot;\ * #,##0.00_-;\-&quot;€&quot;\ * #,##0.00_-;_-&quot;€&quot;\ * &quot;-&quot;??_-;_-@_-"/>
      <alignment horizontal="general" vertical="top" textRotation="0" wrapText="0" indent="0" justifyLastLine="0" shrinkToFit="0" readingOrder="0"/>
    </dxf>
    <dxf>
      <alignment horizontal="general" vertical="top" textRotation="0" indent="0" justifyLastLine="0" shrinkToFit="0" readingOrder="0"/>
    </dxf>
    <dxf>
      <alignment horizontal="general" vertical="top" textRotation="0" wrapText="0" indent="0" justifyLastLine="0" shrinkToFit="0" readingOrder="0"/>
    </dxf>
    <dxf>
      <alignment horizontal="general" vertical="top" textRotation="0" indent="0" justifyLastLine="0" shrinkToFit="0" readingOrder="0"/>
    </dxf>
    <dxf>
      <alignment horizontal="general" vertical="top" textRotation="0" wrapText="0" indent="0" justifyLastLine="0" shrinkToFit="0" readingOrder="0"/>
    </dxf>
    <dxf>
      <alignment horizontal="general" vertical="top" textRotation="0" indent="0" justifyLastLine="0" shrinkToFit="0" readingOrder="0"/>
    </dxf>
    <dxf>
      <alignment horizontal="general" vertical="top" textRotation="0" wrapText="0" indent="0" justifyLastLine="0" shrinkToFit="0" readingOrder="0"/>
    </dxf>
    <dxf>
      <numFmt numFmtId="11" formatCode="&quot;€&quot;\ #,##0.00;\-&quot;€&quot;\ #,##0.00"/>
      <alignment horizontal="general" vertical="top" textRotation="0" wrapText="0" indent="0" justifyLastLine="0" shrinkToFit="0" readingOrder="0"/>
    </dxf>
    <dxf>
      <alignment horizontal="general" vertical="top" textRotation="0" indent="0" justifyLastLine="0" shrinkToFit="0" readingOrder="0"/>
    </dxf>
    <dxf>
      <alignment horizontal="general" vertical="top" textRotation="0" wrapText="0" indent="0" justifyLastLine="0" shrinkToFit="0" readingOrder="0"/>
    </dxf>
    <dxf>
      <alignment horizontal="general" vertical="top" textRotation="0" indent="0" justifyLastLine="0" shrinkToFit="0" readingOrder="0"/>
    </dxf>
    <dxf>
      <alignment horizontal="general" vertical="top" textRotation="0" wrapText="0" indent="0" justifyLastLine="0" shrinkToFit="0" readingOrder="0"/>
    </dxf>
    <dxf>
      <alignment horizontal="general" vertical="top" textRotation="0" indent="0" justifyLastLine="0" shrinkToFit="0" readingOrder="0"/>
    </dxf>
    <dxf>
      <alignment horizontal="general" vertical="top" textRotation="0" wrapText="0" indent="0" justifyLastLine="0" shrinkToFit="0" readingOrder="0"/>
    </dxf>
    <dxf>
      <numFmt numFmtId="34" formatCode="_-&quot;€&quot;\ * #,##0.00_-;\-&quot;€&quot;\ * #,##0.00_-;_-&quot;€&quot;\ * &quot;-&quot;??_-;_-@_-"/>
      <alignment horizontal="general" vertical="top" textRotation="0" wrapText="0" indent="0" justifyLastLine="0" shrinkToFit="0" readingOrder="0"/>
    </dxf>
    <dxf>
      <alignment horizontal="general" vertical="top" textRotation="0" indent="0" justifyLastLine="0" shrinkToFit="0" readingOrder="0"/>
    </dxf>
    <dxf>
      <alignment horizontal="general" vertical="top" textRotation="0" wrapText="0" indent="0" justifyLastLine="0" shrinkToFit="0" readingOrder="0"/>
    </dxf>
    <dxf>
      <alignment horizontal="general" vertical="top" textRotation="0" indent="0" justifyLastLine="0" shrinkToFit="0" readingOrder="0"/>
    </dxf>
    <dxf>
      <alignment horizontal="general" vertical="top" textRotation="0" wrapText="0" indent="0" justifyLastLine="0" shrinkToFit="0" readingOrder="0"/>
    </dxf>
    <dxf>
      <alignment horizontal="general" vertical="top" textRotation="0" indent="0" justifyLastLine="0" shrinkToFit="0" readingOrder="0"/>
    </dxf>
    <dxf>
      <alignment horizontal="general" vertical="top" textRotation="0" wrapText="0" indent="0" justifyLastLine="0" shrinkToFit="0" readingOrder="0"/>
    </dxf>
    <dxf>
      <numFmt numFmtId="34" formatCode="_-&quot;€&quot;\ * #,##0.00_-;\-&quot;€&quot;\ * #,##0.00_-;_-&quot;€&quot;\ * &quot;-&quot;??_-;_-@_-"/>
      <alignment horizontal="general" vertical="top" textRotation="0" wrapText="0" indent="0" justifyLastLine="0" shrinkToFit="0" readingOrder="0"/>
    </dxf>
    <dxf>
      <alignment horizontal="general" vertical="top" textRotation="0" indent="0" justifyLastLine="0" shrinkToFit="0" readingOrder="0"/>
    </dxf>
    <dxf>
      <alignment horizontal="general" vertical="top" textRotation="0" wrapText="0" indent="0" justifyLastLine="0" shrinkToFit="0" readingOrder="0"/>
    </dxf>
    <dxf>
      <alignment horizontal="general" vertical="top" textRotation="0" indent="0" justifyLastLine="0" shrinkToFit="0" readingOrder="0"/>
    </dxf>
    <dxf>
      <alignment horizontal="general" vertical="top" textRotation="0" wrapText="0" indent="0" justifyLastLine="0" shrinkToFit="0" readingOrder="0"/>
    </dxf>
    <dxf>
      <alignment horizontal="general" vertical="top" textRotation="0" indent="0" justifyLastLine="0" shrinkToFit="0" readingOrder="0"/>
    </dxf>
    <dxf>
      <alignment horizontal="general" vertical="top" textRotation="0" wrapText="0" indent="0" justifyLastLine="0" shrinkToFit="0" readingOrder="0"/>
    </dxf>
    <dxf>
      <numFmt numFmtId="34" formatCode="_-&quot;€&quot;\ * #,##0.00_-;\-&quot;€&quot;\ * #,##0.00_-;_-&quot;€&quot;\ * &quot;-&quot;??_-;_-@_-"/>
      <alignment horizontal="general" vertical="top" textRotation="0" wrapText="0" indent="0" justifyLastLine="0" shrinkToFit="0" readingOrder="0"/>
    </dxf>
    <dxf>
      <alignment horizontal="general" vertical="top" textRotation="0" indent="0" justifyLastLine="0" shrinkToFit="0" readingOrder="0"/>
    </dxf>
    <dxf>
      <alignment horizontal="general" vertical="top" textRotation="0" wrapText="0" indent="0" justifyLastLine="0" shrinkToFit="0" readingOrder="0"/>
    </dxf>
    <dxf>
      <alignment horizontal="general" vertical="top" textRotation="0" indent="0" justifyLastLine="0" shrinkToFit="0" readingOrder="0"/>
    </dxf>
    <dxf>
      <alignment horizontal="general" vertical="top" textRotation="0" wrapText="0" indent="0" justifyLastLine="0" shrinkToFit="0" readingOrder="0"/>
    </dxf>
    <dxf>
      <alignment horizontal="general" vertical="top" textRotation="0" indent="0" justifyLastLine="0" shrinkToFit="0" readingOrder="0"/>
    </dxf>
    <dxf>
      <alignment horizontal="general" vertical="top" textRotation="0" wrapText="0" indent="0" justifyLastLine="0" shrinkToFit="0" readingOrder="0"/>
    </dxf>
    <dxf>
      <numFmt numFmtId="34" formatCode="_-&quot;€&quot;\ * #,##0.00_-;\-&quot;€&quot;\ * #,##0.00_-;_-&quot;€&quot;\ * &quot;-&quot;??_-;_-@_-"/>
      <alignment horizontal="general" vertical="top" textRotation="0" wrapText="0" indent="0" justifyLastLine="0" shrinkToFit="0" readingOrder="0"/>
    </dxf>
    <dxf>
      <alignment horizontal="general" vertical="top" textRotation="0" indent="0" justifyLastLine="0" shrinkToFit="0" readingOrder="0"/>
    </dxf>
    <dxf>
      <alignment horizontal="general" vertical="top" textRotation="0" wrapText="0" indent="0" justifyLastLine="0" shrinkToFit="0" readingOrder="0"/>
    </dxf>
    <dxf>
      <alignment horizontal="general" vertical="top" textRotation="0" indent="0" justifyLastLine="0" shrinkToFit="0" readingOrder="0"/>
    </dxf>
    <dxf>
      <alignment horizontal="general" vertical="top" textRotation="0" wrapText="0" indent="0" justifyLastLine="0" shrinkToFit="0" readingOrder="0"/>
    </dxf>
    <dxf>
      <alignment horizontal="general" vertical="top" textRotation="0" indent="0" justifyLastLine="0" shrinkToFit="0" readingOrder="0"/>
    </dxf>
    <dxf>
      <alignment horizontal="general" vertical="top" textRotation="0" wrapText="0" indent="0" justifyLastLine="0" shrinkToFit="0" readingOrder="0"/>
    </dxf>
    <dxf>
      <numFmt numFmtId="34" formatCode="_-&quot;€&quot;\ * #,##0.00_-;\-&quot;€&quot;\ * #,##0.00_-;_-&quot;€&quot;\ * &quot;-&quot;??_-;_-@_-"/>
      <alignment horizontal="general" vertical="top" textRotation="0" wrapText="0" indent="0" justifyLastLine="0" shrinkToFit="0" readingOrder="0"/>
    </dxf>
    <dxf>
      <alignment horizontal="general" vertical="top" textRotation="0" indent="0" justifyLastLine="0" shrinkToFit="0" readingOrder="0"/>
    </dxf>
    <dxf>
      <alignment horizontal="general" vertical="top" textRotation="0" wrapText="0" indent="0" justifyLastLine="0" shrinkToFit="0" readingOrder="0"/>
    </dxf>
    <dxf>
      <alignment horizontal="general" vertical="top" textRotation="0" indent="0" justifyLastLine="0" shrinkToFit="0" readingOrder="0"/>
    </dxf>
    <dxf>
      <alignment horizontal="general" vertical="top" textRotation="0" wrapText="0" indent="0" justifyLastLine="0" shrinkToFit="0" readingOrder="0"/>
    </dxf>
    <dxf>
      <alignment horizontal="general" vertical="top" textRotation="0" indent="0" justifyLastLine="0" shrinkToFit="0" readingOrder="0"/>
    </dxf>
    <dxf>
      <alignment horizontal="general" vertical="top" textRotation="0" wrapText="0" indent="0" justifyLastLine="0" shrinkToFit="0" readingOrder="0"/>
    </dxf>
    <dxf>
      <numFmt numFmtId="34" formatCode="_-&quot;€&quot;\ * #,##0.00_-;\-&quot;€&quot;\ * #,##0.00_-;_-&quot;€&quot;\ * &quot;-&quot;??_-;_-@_-"/>
      <alignment horizontal="general" vertical="top" textRotation="0" wrapText="0" indent="0" justifyLastLine="0" shrinkToFit="0" readingOrder="0"/>
    </dxf>
    <dxf>
      <alignment horizontal="general" vertical="top" textRotation="0" indent="0" justifyLastLine="0" shrinkToFit="0" readingOrder="0"/>
    </dxf>
    <dxf>
      <alignment horizontal="general" vertical="top" textRotation="0" wrapText="0" indent="0" justifyLastLine="0" shrinkToFit="0" readingOrder="0"/>
    </dxf>
    <dxf>
      <alignment horizontal="general" vertical="top" textRotation="0" indent="0" justifyLastLine="0" shrinkToFit="0" readingOrder="0"/>
    </dxf>
    <dxf>
      <alignment horizontal="general" vertical="top" textRotation="0" wrapText="0" indent="0" justifyLastLine="0" shrinkToFit="0" readingOrder="0"/>
    </dxf>
    <dxf>
      <alignment horizontal="general" vertical="top" textRotation="0" indent="0" justifyLastLine="0" shrinkToFit="0" readingOrder="0"/>
    </dxf>
    <dxf>
      <alignment horizontal="general" vertical="top" textRotation="0" wrapText="0" indent="0" justifyLastLine="0" shrinkToFit="0" readingOrder="0"/>
    </dxf>
    <dxf>
      <numFmt numFmtId="34" formatCode="_-&quot;€&quot;\ * #,##0.00_-;\-&quot;€&quot;\ * #,##0.00_-;_-&quot;€&quot;\ * &quot;-&quot;??_-;_-@_-"/>
      <alignment horizontal="general" vertical="top" textRotation="0" wrapText="0" indent="0" justifyLastLine="0" shrinkToFit="0" readingOrder="0"/>
    </dxf>
    <dxf>
      <alignment horizontal="general" vertical="top" textRotation="0" indent="0" justifyLastLine="0" shrinkToFit="0" readingOrder="0"/>
    </dxf>
    <dxf>
      <alignment horizontal="general" vertical="top" textRotation="0" wrapText="0" indent="0" justifyLastLine="0" shrinkToFit="0" readingOrder="0"/>
    </dxf>
    <dxf>
      <alignment horizontal="general" vertical="top" textRotation="0" indent="0" justifyLastLine="0" shrinkToFit="0" readingOrder="0"/>
    </dxf>
    <dxf>
      <alignment horizontal="general" vertical="top" textRotation="0" wrapText="0" indent="0" justifyLastLine="0" shrinkToFit="0" readingOrder="0"/>
    </dxf>
    <dxf>
      <alignment horizontal="general" vertical="top" textRotation="0" indent="0" justifyLastLine="0" shrinkToFit="0" readingOrder="0"/>
    </dxf>
    <dxf>
      <alignment horizontal="general" vertical="top" textRotation="0" wrapText="0" indent="0" justifyLastLine="0" shrinkToFit="0" readingOrder="0"/>
    </dxf>
    <dxf>
      <numFmt numFmtId="34" formatCode="_-&quot;€&quot;\ * #,##0.00_-;\-&quot;€&quot;\ * #,##0.00_-;_-&quot;€&quot;\ * &quot;-&quot;??_-;_-@_-"/>
      <alignment horizontal="general" vertical="top" textRotation="0" wrapText="0" indent="0" justifyLastLine="0" shrinkToFit="0" readingOrder="0"/>
    </dxf>
    <dxf>
      <alignment horizontal="general" vertical="top" textRotation="0" indent="0" justifyLastLine="0" shrinkToFit="0" readingOrder="0"/>
    </dxf>
    <dxf>
      <alignment horizontal="general" vertical="top" textRotation="0" wrapText="0" indent="0" justifyLastLine="0" shrinkToFit="0" readingOrder="0"/>
    </dxf>
    <dxf>
      <alignment horizontal="general" vertical="top" textRotation="0" indent="0" justifyLastLine="0" shrinkToFit="0" readingOrder="0"/>
    </dxf>
    <dxf>
      <alignment horizontal="general" vertical="top" textRotation="0" wrapText="0" indent="0" justifyLastLine="0" shrinkToFit="0" readingOrder="0"/>
    </dxf>
    <dxf>
      <alignment horizontal="general" vertical="top" textRotation="0" indent="0" justifyLastLine="0" shrinkToFit="0" readingOrder="0"/>
    </dxf>
    <dxf>
      <font>
        <strike val="0"/>
        <outline val="0"/>
        <shadow val="0"/>
        <u val="none"/>
        <vertAlign val="baseline"/>
        <sz val="11"/>
        <color auto="1"/>
        <name val="Calibri"/>
        <family val="2"/>
        <charset val="186"/>
        <scheme val="minor"/>
      </font>
      <numFmt numFmtId="12" formatCode="&quot;€&quot;\ #,##0.00;[Red]\-&quot;€&quot;\ #,##0.00"/>
      <alignment horizontal="general" vertical="top" textRotation="0" wrapText="0" indent="0" justifyLastLine="0" shrinkToFit="0" readingOrder="0"/>
    </dxf>
    <dxf>
      <font>
        <strike val="0"/>
        <outline val="0"/>
        <shadow val="0"/>
        <u val="none"/>
        <vertAlign val="baseline"/>
        <sz val="11"/>
        <color auto="1"/>
        <name val="Calibri"/>
        <family val="2"/>
        <charset val="186"/>
        <scheme val="minor"/>
      </font>
    </dxf>
    <dxf>
      <font>
        <strike val="0"/>
        <outline val="0"/>
        <shadow val="0"/>
        <u val="none"/>
        <vertAlign val="baseline"/>
        <sz val="11"/>
        <color auto="1"/>
        <name val="Calibri"/>
        <family val="2"/>
        <charset val="186"/>
        <scheme val="minor"/>
      </font>
      <numFmt numFmtId="12" formatCode="&quot;€&quot;\ #,##0.00;[Red]\-&quot;€&quot;\ #,##0.00"/>
      <fill>
        <patternFill patternType="solid">
          <fgColor indexed="64"/>
          <bgColor rgb="FF92D050"/>
        </patternFill>
      </fill>
      <alignment horizontal="general" vertical="top" textRotation="0" wrapText="0" indent="0" justifyLastLine="0" shrinkToFit="0" readingOrder="0"/>
    </dxf>
    <dxf>
      <font>
        <strike val="0"/>
        <outline val="0"/>
        <shadow val="0"/>
        <u val="none"/>
        <vertAlign val="baseline"/>
        <sz val="11"/>
        <color auto="1"/>
        <name val="Calibri"/>
        <family val="2"/>
        <charset val="186"/>
        <scheme val="minor"/>
      </font>
      <numFmt numFmtId="4" formatCode="#,##0.00"/>
    </dxf>
    <dxf>
      <alignment horizontal="general" vertical="top" textRotation="0" wrapText="0" indent="0" justifyLastLine="0" shrinkToFit="0" readingOrder="0"/>
    </dxf>
    <dxf>
      <numFmt numFmtId="12" formatCode="&quot;€&quot;\ #,##0.00;[Red]\-&quot;€&quot;\ #,##0.00"/>
      <alignment horizontal="general" vertical="top" textRotation="0" wrapText="0" indent="0" justifyLastLine="0" shrinkToFit="0" readingOrder="0"/>
    </dxf>
    <dxf>
      <alignment horizontal="general" vertical="top" textRotation="0" indent="0" justifyLastLine="0" shrinkToFit="0" readingOrder="0"/>
    </dxf>
    <dxf>
      <alignment horizontal="general" vertical="top" textRotation="0" wrapText="0" indent="0" justifyLastLine="0" shrinkToFit="0" readingOrder="0"/>
    </dxf>
    <dxf>
      <alignment horizontal="general" vertical="top" textRotation="0" indent="0" justifyLastLine="0" shrinkToFit="0" readingOrder="0"/>
    </dxf>
    <dxf>
      <alignment horizontal="general" vertical="top" textRotation="0" wrapText="0" indent="0" justifyLastLine="0" shrinkToFit="0" readingOrder="0"/>
    </dxf>
    <dxf>
      <alignment horizontal="general" vertical="top" textRotation="0" indent="0" justifyLastLine="0" shrinkToFit="0" readingOrder="0"/>
    </dxf>
    <dxf>
      <font>
        <b val="0"/>
        <i val="0"/>
        <strike val="0"/>
        <condense val="0"/>
        <extend val="0"/>
        <outline val="0"/>
        <shadow val="0"/>
        <u val="none"/>
        <vertAlign val="baseline"/>
        <sz val="11"/>
        <color rgb="FF000000"/>
        <name val="Calibri"/>
        <family val="2"/>
        <charset val="186"/>
        <scheme val="none"/>
      </font>
      <numFmt numFmtId="165" formatCode="#,##0.00\ &quot;€&quot;"/>
    </dxf>
    <dxf>
      <numFmt numFmtId="165" formatCode="#,##0.00\ &quot;€&quot;"/>
      <alignment horizontal="general" vertical="bottom" textRotation="0" wrapText="1" indent="0" justifyLastLine="0" shrinkToFit="0" readingOrder="0"/>
    </dxf>
    <dxf>
      <font>
        <b val="0"/>
        <i val="0"/>
        <strike val="0"/>
        <condense val="0"/>
        <extend val="0"/>
        <outline val="0"/>
        <shadow val="0"/>
        <u val="none"/>
        <vertAlign val="baseline"/>
        <sz val="11"/>
        <color rgb="FF000000"/>
        <name val="Calibri"/>
        <family val="2"/>
        <charset val="186"/>
        <scheme val="none"/>
      </font>
      <numFmt numFmtId="165" formatCode="#,##0.00\ &quot;€&quot;"/>
    </dxf>
    <dxf>
      <numFmt numFmtId="30" formatCode="@"/>
    </dxf>
    <dxf>
      <font>
        <b val="0"/>
        <i val="0"/>
        <strike val="0"/>
        <condense val="0"/>
        <extend val="0"/>
        <outline val="0"/>
        <shadow val="0"/>
        <u val="none"/>
        <vertAlign val="baseline"/>
        <sz val="11"/>
        <color rgb="FF000000"/>
        <name val="Calibri"/>
        <family val="2"/>
        <charset val="186"/>
        <scheme val="none"/>
      </font>
    </dxf>
    <dxf>
      <numFmt numFmtId="165" formatCode="#,##0.00\ &quot;€&quot;"/>
      <alignment textRotation="0" wrapText="1" indent="0" justifyLastLine="0" shrinkToFit="0" readingOrder="0"/>
    </dxf>
    <dxf>
      <font>
        <b val="0"/>
        <i val="0"/>
        <strike val="0"/>
        <condense val="0"/>
        <extend val="0"/>
        <outline val="0"/>
        <shadow val="0"/>
        <u val="none"/>
        <vertAlign val="baseline"/>
        <sz val="11"/>
        <color rgb="FF000000"/>
        <name val="Calibri"/>
        <family val="2"/>
        <charset val="186"/>
        <scheme val="none"/>
      </font>
      <alignment horizontal="left" vertical="top" textRotation="0" wrapText="1" indent="0" justifyLastLine="0" shrinkToFit="0" readingOrder="0"/>
    </dxf>
    <dxf>
      <numFmt numFmtId="165" formatCode="#,##0.00\ &quot;€&quot;"/>
      <alignment horizontal="general" vertical="bottom" textRotation="0" wrapText="1" indent="0" justifyLastLine="0" shrinkToFit="0" readingOrder="0"/>
    </dxf>
    <dxf>
      <font>
        <b val="0"/>
        <i val="0"/>
        <strike val="0"/>
        <condense val="0"/>
        <extend val="0"/>
        <outline val="0"/>
        <shadow val="0"/>
        <u val="none"/>
        <vertAlign val="baseline"/>
        <sz val="11"/>
        <color rgb="FF000000"/>
        <name val="Calibri"/>
        <family val="2"/>
        <charset val="186"/>
        <scheme val="none"/>
      </font>
      <alignment horizontal="left" vertical="top" textRotation="0" wrapText="1" indent="0" justifyLastLine="0" shrinkToFit="0" readingOrder="0"/>
    </dxf>
    <dxf>
      <numFmt numFmtId="30" formatCode="@"/>
      <alignment horizontal="left" vertical="top" textRotation="0" wrapText="1" indent="0" justifyLastLine="0" shrinkToFit="0" readingOrder="0"/>
    </dxf>
    <dxf>
      <font>
        <b val="0"/>
        <i val="0"/>
        <strike val="0"/>
        <condense val="0"/>
        <extend val="0"/>
        <outline val="0"/>
        <shadow val="0"/>
        <u val="none"/>
        <vertAlign val="baseline"/>
        <sz val="11"/>
        <color rgb="FF000000"/>
        <name val="Calibri"/>
        <family val="2"/>
        <charset val="186"/>
        <scheme val="none"/>
      </font>
      <alignment horizontal="left" vertical="top" textRotation="0" wrapText="1" indent="0" justifyLastLine="0" shrinkToFit="0" readingOrder="0"/>
    </dxf>
    <dxf>
      <alignment horizontal="left" vertical="top" textRotation="0" wrapText="1" indent="0" justifyLastLine="0" shrinkToFit="0" readingOrder="0"/>
    </dxf>
    <dxf>
      <font>
        <b val="0"/>
        <i val="0"/>
        <strike val="0"/>
        <condense val="0"/>
        <extend val="0"/>
        <outline val="0"/>
        <shadow val="0"/>
        <u val="none"/>
        <vertAlign val="baseline"/>
        <sz val="11"/>
        <color rgb="FF000000"/>
        <name val="Calibri"/>
        <family val="2"/>
        <charset val="186"/>
        <scheme val="none"/>
      </font>
      <alignment horizontal="left" vertical="top" textRotation="0" wrapText="1" indent="0" justifyLastLine="0" shrinkToFit="0" readingOrder="0"/>
    </dxf>
    <dxf>
      <alignment horizontal="left" vertical="top" textRotation="0" wrapText="1" indent="0" justifyLastLine="0" shrinkToFit="0" readingOrder="0"/>
    </dxf>
    <dxf>
      <font>
        <b val="0"/>
        <i val="0"/>
        <strike val="0"/>
        <condense val="0"/>
        <extend val="0"/>
        <outline val="0"/>
        <shadow val="0"/>
        <u val="none"/>
        <vertAlign val="baseline"/>
        <sz val="11"/>
        <color rgb="FF000000"/>
        <name val="Calibri"/>
        <family val="2"/>
        <charset val="186"/>
        <scheme val="none"/>
      </font>
      <alignment horizontal="left" vertical="top" textRotation="0" wrapText="1" indent="0" justifyLastLine="0" shrinkToFit="0" readingOrder="0"/>
    </dxf>
    <dxf>
      <alignment horizontal="left" vertical="top" textRotation="0" wrapText="1" indent="0" justifyLastLine="0" shrinkToFit="0" readingOrder="0"/>
    </dxf>
    <dxf>
      <font>
        <b val="0"/>
        <i val="0"/>
        <strike val="0"/>
        <condense val="0"/>
        <extend val="0"/>
        <outline val="0"/>
        <shadow val="0"/>
        <u val="none"/>
        <vertAlign val="baseline"/>
        <sz val="11"/>
        <color rgb="FF000000"/>
        <name val="Calibri"/>
        <family val="2"/>
        <charset val="186"/>
        <scheme val="none"/>
      </font>
    </dxf>
    <dxf>
      <fill>
        <patternFill patternType="none">
          <fgColor indexed="64"/>
          <bgColor auto="1"/>
        </patternFill>
      </fill>
    </dxf>
    <dxf>
      <border outline="0">
        <top style="thin">
          <color rgb="FF000000"/>
        </top>
      </border>
    </dxf>
    <dxf>
      <border outline="0">
        <bottom style="thin">
          <color rgb="FF000000"/>
        </bottom>
      </border>
    </dxf>
    <dxf>
      <font>
        <b val="0"/>
        <i val="0"/>
        <strike val="0"/>
        <condense val="0"/>
        <extend val="0"/>
        <outline val="0"/>
        <shadow val="0"/>
        <u val="none"/>
        <vertAlign val="baseline"/>
        <sz val="11"/>
        <color theme="1"/>
        <name val="Calibri"/>
        <family val="2"/>
        <charset val="186"/>
        <scheme val="minor"/>
      </font>
      <numFmt numFmtId="164" formatCode="&quot;€&quot;\ #,##0.00"/>
    </dxf>
    <dxf>
      <font>
        <strike val="0"/>
        <outline val="0"/>
        <shadow val="0"/>
        <u val="none"/>
        <vertAlign val="baseline"/>
        <sz val="11"/>
        <color auto="1"/>
        <name val="Calibri"/>
        <family val="2"/>
        <charset val="186"/>
        <scheme val="minor"/>
      </font>
      <numFmt numFmtId="11" formatCode="&quot;€&quot;\ #,##0.00;\-&quot;€&quot;\ #,##0.00"/>
      <fill>
        <patternFill patternType="none">
          <fgColor indexed="64"/>
          <bgColor auto="1"/>
        </patternFill>
      </fill>
    </dxf>
    <dxf>
      <font>
        <b val="0"/>
        <i val="0"/>
        <strike val="0"/>
        <condense val="0"/>
        <extend val="0"/>
        <outline val="0"/>
        <shadow val="0"/>
        <u val="none"/>
        <vertAlign val="baseline"/>
        <sz val="11"/>
        <color theme="1"/>
        <name val="Calibri"/>
        <family val="2"/>
        <charset val="186"/>
        <scheme val="minor"/>
      </font>
      <numFmt numFmtId="164" formatCode="&quot;€&quot;\ #,##0.00"/>
    </dxf>
    <dxf>
      <font>
        <strike val="0"/>
        <outline val="0"/>
        <shadow val="0"/>
        <u val="none"/>
        <vertAlign val="baseline"/>
        <sz val="11"/>
        <color auto="1"/>
        <name val="Calibri"/>
        <family val="2"/>
        <charset val="186"/>
        <scheme val="minor"/>
      </font>
      <numFmt numFmtId="165" formatCode="#,##0.00\ &quot;€&quot;"/>
      <fill>
        <patternFill patternType="none">
          <fgColor indexed="64"/>
          <bgColor auto="1"/>
        </patternFill>
      </fill>
    </dxf>
    <dxf>
      <font>
        <b val="0"/>
        <i val="0"/>
        <strike val="0"/>
        <condense val="0"/>
        <extend val="0"/>
        <outline val="0"/>
        <shadow val="0"/>
        <u val="none"/>
        <vertAlign val="baseline"/>
        <sz val="11"/>
        <color theme="1"/>
        <name val="Calibri"/>
        <family val="2"/>
        <charset val="186"/>
        <scheme val="minor"/>
      </font>
      <numFmt numFmtId="164" formatCode="&quot;€&quot;\ #,##0.00"/>
    </dxf>
    <dxf>
      <font>
        <strike val="0"/>
        <outline val="0"/>
        <shadow val="0"/>
        <u val="none"/>
        <vertAlign val="baseline"/>
        <sz val="11"/>
        <color auto="1"/>
        <name val="Calibri"/>
        <family val="2"/>
        <charset val="186"/>
        <scheme val="minor"/>
      </font>
      <numFmt numFmtId="34" formatCode="_-&quot;€&quot;\ * #,##0.00_-;\-&quot;€&quot;\ * #,##0.00_-;_-&quot;€&quot;\ * &quot;-&quot;??_-;_-@_-"/>
      <fill>
        <patternFill patternType="none">
          <fgColor indexed="64"/>
          <bgColor auto="1"/>
        </patternFill>
      </fill>
    </dxf>
    <dxf>
      <alignment horizontal="general" vertical="bottom" textRotation="0" wrapText="1" indent="0" justifyLastLine="0" shrinkToFit="0" readingOrder="0"/>
    </dxf>
    <dxf>
      <font>
        <strike val="0"/>
        <outline val="0"/>
        <shadow val="0"/>
        <u val="none"/>
        <vertAlign val="baseline"/>
        <sz val="11"/>
        <color auto="1"/>
        <name val="Calibri"/>
        <family val="2"/>
        <charset val="186"/>
        <scheme val="minor"/>
      </font>
      <fill>
        <patternFill patternType="none">
          <fgColor indexed="64"/>
          <bgColor auto="1"/>
        </patternFill>
      </fill>
      <alignment horizontal="general" vertical="bottom" textRotation="0" wrapText="1" indent="0" justifyLastLine="0" shrinkToFit="0" readingOrder="0"/>
    </dxf>
    <dxf>
      <font>
        <strike val="0"/>
        <outline val="0"/>
        <shadow val="0"/>
        <u val="none"/>
        <vertAlign val="baseline"/>
        <sz val="11"/>
        <color auto="1"/>
        <name val="Calibri"/>
        <family val="2"/>
        <charset val="186"/>
        <scheme val="minor"/>
      </font>
      <fill>
        <patternFill patternType="none">
          <fgColor indexed="64"/>
          <bgColor auto="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BAB72AA7-9FB1-4F94-979C-E6D9FD0AB68C}" name="Table14" displayName="Table14" ref="C4:F22" totalsRowCount="1" dataDxfId="109">
  <autoFilter ref="C4:F21" xr:uid="{C84B95A9-1642-43C2-B617-96DDBC846D94}"/>
  <tableColumns count="4">
    <tableColumn id="1" xr3:uid="{D5C83EF1-9759-4C46-A9E7-454C53D09562}" name="Gāzu tīkla izbūve skābekļa nodrošināšanai Covid-19 pacientiem" totalsRowLabel="KOPĀ" dataDxfId="108" totalsRowDxfId="107"/>
    <tableColumn id="2" xr3:uid="{3D72F18C-521B-4C29-9F82-9533FAD8BEB7}" name="2021.gadā veiktie pasākumi summa, euro" totalsRowFunction="sum" dataDxfId="106" totalsRowDxfId="105">
      <calculatedColumnFormula>#REF!</calculatedColumnFormula>
    </tableColumn>
    <tableColumn id="4" xr3:uid="{D6B821EE-88EB-437E-B775-89243982558D}" name="2022.gadam nepieciešamā summa, euro" totalsRowFunction="sum" dataDxfId="104" totalsRowDxfId="103">
      <calculatedColumnFormula>RAKUS!I24+RAKUS!I22</calculatedColumnFormula>
    </tableColumn>
    <tableColumn id="3" xr3:uid="{234E64EB-B724-4818-99B0-1C5F81CC0C33}" name="Pavisam kopā nepieciešams, euro" totalsRowFunction="sum" dataDxfId="102" totalsRowDxfId="101">
      <calculatedColumnFormula>Table14[[#This Row],[2021.gadā veiktie pasākumi summa, euro]]+Table14[[#This Row],[2022.gadam nepieciešamā summa, euro]]</calculatedColumnFormula>
    </tableColumn>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7C31DCE3-5337-4A33-86A5-FDEBF91AC9FD}" name="Table113" displayName="Table113" ref="A3:I30" totalsRowShown="0" headerRowBorderDxfId="100" tableBorderDxfId="99">
  <autoFilter ref="A3:I30" xr:uid="{55AC9092-3EE4-41A5-A53B-CA25E58BEA8B}"/>
  <tableColumns count="9">
    <tableColumn id="1" xr3:uid="{7B6E01D3-9714-425D-BD3F-7E7CF6ECA50D}" name="Nr" dataDxfId="98" totalsRowDxfId="97" dataCellStyle="Normal 2"/>
    <tableColumn id="2" xr3:uid="{EEE9DCAB-2DDA-4020-9A35-2A4A9406F723}" name="Darbu Tehniskā specifikācijas – Darba pieteikumi" dataDxfId="96" totalsRowDxfId="95" dataCellStyle="Normal 2"/>
    <tableColumn id="11" xr3:uid="{40337275-4598-4955-8E53-104EB3B9B98D}" name="Līguma Nr" dataDxfId="94" totalsRowDxfId="93" dataCellStyle="Normal 2"/>
    <tableColumn id="9" xr3:uid="{7074165D-D279-4FDB-B22E-D55F0C374846}" name="Stacionārs" dataDxfId="92" totalsRowDxfId="91" dataCellStyle="Normal 2"/>
    <tableColumn id="5" xr3:uid="{3B308BD5-5616-470F-8CAC-3008DAEB65EC}" name="Statuss" dataDxfId="90" totalsRowDxfId="89" dataCellStyle="Normal 2"/>
    <tableColumn id="15" xr3:uid="{B6A4E392-3C3E-4A9A-BF59-DC95E236D9D7}" name="Darbu apjoms" dataDxfId="88" totalsRowDxfId="87" dataCellStyle="Normal 2"/>
    <tableColumn id="3" xr3:uid="{1505D749-2E45-46D2-977E-69860EED160E}" name="Summa (ar PVN)" dataDxfId="86" totalsRowDxfId="85" dataCellStyle="Normal 2"/>
    <tableColumn id="6" xr3:uid="{10C3A708-A4D4-458D-8C7C-C293AAD85BCB}" name="Izpilde, mēnesis" dataDxfId="84" totalsRowDxfId="83" dataCellStyle="Normal 2"/>
    <tableColumn id="4" xr3:uid="{E152AC48-BEE7-443B-9679-79789FEF18EA}" name="Budžets" dataDxfId="82" totalsRowDxfId="81" dataCellStyle="Normal 2"/>
  </tableColumns>
  <tableStyleInfo name="TableStyleLight8"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685EBE4F-12E6-4F03-A73C-35E838BA126B}" name="Table1315" displayName="Table1315" ref="A3:F11" totalsRowCount="1">
  <autoFilter ref="A3:F10" xr:uid="{685EBE4F-12E6-4F03-A73C-35E838BA126B}"/>
  <tableColumns count="6">
    <tableColumn id="1" xr3:uid="{A6B41D9F-533C-4B59-AACE-F0199516E471}" name="Gāzu tīkla izbūve skābekļa nodrošināšanai Covid-19 pacientiem  " totalsRowLabel="Total" dataDxfId="80" totalsRowDxfId="79"/>
    <tableColumn id="2" xr3:uid="{B5065932-5A35-43D0-8C5F-B058026F69EC}" name="Datums" dataDxfId="78" totalsRowDxfId="77"/>
    <tableColumn id="3" xr3:uid="{5B1FE215-96B7-49C8-8167-F6EC271878E8}" name="Summa ar PVN" totalsRowFunction="sum" dataDxfId="76" totalsRowDxfId="75" dataCellStyle="Currency"/>
    <tableColumn id="4" xr3:uid="{ADE7937C-7F57-4F04-BA25-156AC5B390E5}" name="Pavadzīmes vai rēķina Nr." dataDxfId="74"/>
    <tableColumn id="5" xr3:uid="{B7549BB0-CDDD-4E91-9102-391DB7F20FD9}" name="LRS finansējums" totalsRowFunction="sum" dataDxfId="73" totalsRowDxfId="72"/>
    <tableColumn id="6" xr3:uid="{8BE6F5FF-2FE1-45D2-B857-7B591EB21194}" name="NVD/ERAF finansējms" totalsRowFunction="sum" dataDxfId="71" totalsRowDxfId="70"/>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69820E9F-9E58-4901-B42E-3BA515421036}" name="Table132010" displayName="Table132010" ref="A3:D7" totalsRowCount="1">
  <autoFilter ref="A3:D6" xr:uid="{8C061855-D01A-4AD2-843F-C95A617BA905}"/>
  <tableColumns count="4">
    <tableColumn id="1" xr3:uid="{E3DD0761-94DC-4C49-A068-524948B98419}" name="Gāzu tīkla izbūve skābekļa nodrošināšanai Covid-19 pacientiem" totalsRowLabel="Total" dataDxfId="69" totalsRowDxfId="68"/>
    <tableColumn id="2" xr3:uid="{07CBD21D-AC84-4E1E-B504-168F0CAC8327}" name="Datums" dataDxfId="67" totalsRowDxfId="66"/>
    <tableColumn id="3" xr3:uid="{D0C73087-2C2E-47AD-B18A-C37CCCF8FC6C}" name="Summa ar PVN" totalsRowFunction="custom" dataDxfId="65" totalsRowDxfId="64" dataCellStyle="Currency">
      <totalsRowFormula>ROUNDUP(SUBTOTAL(109,Table132010[Summa ar PVN]),0)</totalsRowFormula>
    </tableColumn>
    <tableColumn id="4" xr3:uid="{A9E6D2CC-EEC6-4713-B684-1E069FE37A5C}" name="Pavadzīmes vai rēķina Nr." dataDxfId="63"/>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E968BE9B-1C06-44D9-AD81-021D9506B735}" name="Table139" displayName="Table139" ref="A3:D6" totalsRowCount="1">
  <autoFilter ref="A3:D5" xr:uid="{E968BE9B-1C06-44D9-AD81-021D9506B735}"/>
  <tableColumns count="4">
    <tableColumn id="1" xr3:uid="{CEE2C080-52C4-481B-82FE-55C0E530CB75}" name="Gāzu tīkla izbūve skābekļa nodrošināšanai Covid-19 pacientiem  ĀRĒJIE" totalsRowLabel="Total" dataDxfId="62" totalsRowDxfId="61"/>
    <tableColumn id="2" xr3:uid="{460D9EAE-5296-421E-AC35-534289E1AA7E}" name="Datums" dataDxfId="60" totalsRowDxfId="59"/>
    <tableColumn id="3" xr3:uid="{431DC9A7-8FA4-4E99-A553-DB8FD5316D0B}" name="Summa ar PVN" totalsRowFunction="sum" dataDxfId="58" totalsRowDxfId="57" dataCellStyle="Currency"/>
    <tableColumn id="4" xr3:uid="{F54A9120-DC6E-468D-B800-9ACC0A443F11}" name="Pavadzīmes vai rēķina Nr." dataDxfId="56"/>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8640A67A-E132-4786-BAF4-AED99E9B6C25}" name="Table13911" displayName="Table13911" ref="F3:I8" totalsRowCount="1">
  <autoFilter ref="F3:I7" xr:uid="{8640A67A-E132-4786-BAF4-AED99E9B6C25}"/>
  <tableColumns count="4">
    <tableColumn id="1" xr3:uid="{25BE9587-4D5F-4A4F-9631-6467861E642D}" name="Gāzu tīkla izbūve skābekļa nodrošināšanai Covid-19 pacientiem  IEKŠĒJIE" totalsRowLabel="Total" dataDxfId="55" totalsRowDxfId="54"/>
    <tableColumn id="2" xr3:uid="{A45D649B-41F0-4633-8D70-1F21D28A95AB}" name="Datums" dataDxfId="53" totalsRowDxfId="52"/>
    <tableColumn id="3" xr3:uid="{8E16EA02-C5EC-46B5-B341-5BD5CC62ABC3}" name="Summa ar PVN" totalsRowFunction="sum" dataDxfId="51" totalsRowDxfId="50" dataCellStyle="Currency"/>
    <tableColumn id="4" xr3:uid="{F141AC72-E4A0-4803-935C-1765754D5334}" name="Pavadzīmes vai rēķina Nr." dataDxfId="49"/>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30367C81-5541-4A91-B849-F59B0CC16361}" name="Table13" displayName="Table13" ref="A3:D11" totalsRowCount="1">
  <autoFilter ref="A3:D10" xr:uid="{30367C81-5541-4A91-B849-F59B0CC16361}"/>
  <tableColumns count="4">
    <tableColumn id="1" xr3:uid="{EE4EE304-2794-4D6B-913F-02B5D3DCD499}" name="Gāzu tīkla izbūve skābekļa nodrošināšanai Covid-19 pacientiem  ĀRĒJIE" totalsRowLabel="Total" dataDxfId="48" totalsRowDxfId="47"/>
    <tableColumn id="2" xr3:uid="{C0BADF3D-2F13-4F44-B215-BEAB009D7CF0}" name="Datums" dataDxfId="46" totalsRowDxfId="45"/>
    <tableColumn id="3" xr3:uid="{E20BC283-9620-4C00-8716-2C5EE90DACE6}" name="Summa ar PVN" totalsRowFunction="custom" dataDxfId="44" totalsRowDxfId="43" dataCellStyle="Currency">
      <totalsRowFormula>ROUNDUP(SUBTOTAL(109,Table13[Summa ar PVN]),0)</totalsRowFormula>
    </tableColumn>
    <tableColumn id="4" xr3:uid="{7F24B46D-C097-4BC1-B4F9-BF018E81FDCC}" name="Pavadzīmes vai rēķina Nr." dataDxfId="42"/>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74FFC41F-065D-409C-86A7-79FA8936288B}" name="Table135" displayName="Table135" ref="G3:J17" totalsRowCount="1">
  <autoFilter ref="G3:J16" xr:uid="{74FFC41F-065D-409C-86A7-79FA8936288B}"/>
  <tableColumns count="4">
    <tableColumn id="1" xr3:uid="{AA3B01EB-3049-4878-82B8-A14FBB39FC44}" name="Gāzu tīkla izbūve skābekļa nodrošināšanai Covid-19 pacientiem IEKŠĒJIE" totalsRowLabel="Total" dataDxfId="41" totalsRowDxfId="40"/>
    <tableColumn id="2" xr3:uid="{F5D02E06-B8FF-4A15-A2ED-62907EF2F461}" name="Datums" dataDxfId="39" totalsRowDxfId="38"/>
    <tableColumn id="3" xr3:uid="{06A8EA5E-BB83-4C93-9FFE-9663493E2E4C}" name="Summa ar PVN" totalsRowFunction="custom" dataDxfId="37" totalsRowDxfId="36" dataCellStyle="Currency">
      <totalsRowFormula>ROUNDUP(SUBTOTAL(109,Table135[Summa ar PVN]),0)</totalsRowFormula>
    </tableColumn>
    <tableColumn id="4" xr3:uid="{35D218F9-9B06-424B-843F-5FAAF094CAC4}" name="Pavadzīmes vai rēķina Nr." dataDxfId="35"/>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4B9DF7AD-E8DE-45DB-ABCF-A793ED32E296}" name="Table1318" displayName="Table1318" ref="A3:D9" totalsRowCount="1">
  <autoFilter ref="A3:D8" xr:uid="{4B9DF7AD-E8DE-45DB-ABCF-A793ED32E296}"/>
  <tableColumns count="4">
    <tableColumn id="1" xr3:uid="{EBCF82A1-773D-44A1-B7D5-AF7A02B6B9BF}" name="Gāzu tīkla izbūve skābekļa nodrošināšanai Covid-19 pacientiem  " totalsRowLabel="Total" dataDxfId="34" totalsRowDxfId="33"/>
    <tableColumn id="2" xr3:uid="{D97772A5-DF23-4CF1-B72C-DDF6AD6AD1BE}" name="Datums" dataDxfId="32" totalsRowDxfId="31"/>
    <tableColumn id="3" xr3:uid="{F920F791-E686-4BF5-A0A2-98284F899AAA}" name="Summa ar PVN" totalsRowFunction="sum" dataDxfId="30" totalsRowDxfId="29" dataCellStyle="Currency"/>
    <tableColumn id="4" xr3:uid="{A70F8929-FF43-448F-B5EA-75F19928D0CA}" name="Pavadzīmes vai rēķina Nr." dataDxfId="28"/>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EE0CF648-E377-4D0B-8735-F158E1A73AA3}" name="Table1320" displayName="Table1320" ref="A3:D6" totalsRowCount="1">
  <autoFilter ref="A3:D5" xr:uid="{EE0CF648-E377-4D0B-8735-F158E1A73AA3}"/>
  <tableColumns count="4">
    <tableColumn id="1" xr3:uid="{2DE41C61-A47B-41E0-9951-F2CB5C46D093}" name="Gāzu tīkla izbūve skābekļa nodrošināšanai Covid-19 pacientiem" totalsRowLabel="Total" dataDxfId="27" totalsRowDxfId="26"/>
    <tableColumn id="2" xr3:uid="{640DC2F2-4A79-45E3-B830-2E14F7F1A331}" name="Datums" dataDxfId="25" totalsRowDxfId="24"/>
    <tableColumn id="3" xr3:uid="{EEF221BD-6644-4368-A1DA-F67692CD3403}" name="Summa ar PVN" totalsRowFunction="sum" dataDxfId="23" totalsRowDxfId="22" dataCellStyle="Currency"/>
    <tableColumn id="4" xr3:uid="{062ABF58-9E2D-48A8-847C-48ACD9D48678}" name="Pavadzīmes vai rēķina Nr." dataDxfId="21"/>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7D0745C-D87E-4D34-B129-E3AB20A833DE}" name="Table1314" displayName="Table1314" ref="A3:D8" totalsRowCount="1">
  <autoFilter ref="A3:D7" xr:uid="{07D0745C-D87E-4D34-B129-E3AB20A833DE}"/>
  <tableColumns count="4">
    <tableColumn id="1" xr3:uid="{1165CB91-FB02-4CDE-9D3C-C24FD3576323}" name="Gāzu tīkla izbūve skābekļa nodrošināšanai Covid-19 pacientiem " totalsRowLabel="Total" dataDxfId="20" totalsRowDxfId="19"/>
    <tableColumn id="2" xr3:uid="{D430C139-2AAD-4C70-A559-DB113984A429}" name="Datums" dataDxfId="18" totalsRowDxfId="17"/>
    <tableColumn id="3" xr3:uid="{BC307EB0-F4A3-403D-BDFA-0DF3725A2E9D}" name="Summa ar PVN" totalsRowFunction="sum" dataDxfId="16" totalsRowDxfId="15" dataCellStyle="Currency"/>
    <tableColumn id="4" xr3:uid="{23C39AE9-E093-4926-9BAF-899B4E8FCD77}" name="Pavadzīmes vai rēķina Nr." dataDxfId="14"/>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59A5A9F9-96A2-4F64-B468-5361CC8F38E0}" name="Table136" displayName="Table136" ref="A3:D9" totalsRowCount="1">
  <autoFilter ref="A3:D8" xr:uid="{59A5A9F9-96A2-4F64-B468-5361CC8F38E0}"/>
  <tableColumns count="4">
    <tableColumn id="1" xr3:uid="{20DAE7ED-06E8-46F4-9D74-B4B413D8B8E4}" name="Gāzu tīkla izbūve skābekļa nodrošināšanai Covid-19 pacientiem " totalsRowLabel="Total" dataDxfId="13" totalsRowDxfId="12"/>
    <tableColumn id="2" xr3:uid="{D5E8B929-449C-4473-BEAC-7D58AFB3A961}" name="Datums" dataDxfId="11" totalsRowDxfId="10"/>
    <tableColumn id="3" xr3:uid="{04DB3F0C-BE99-45B4-82E8-FD554EE73C41}" name="Summa ar PVN" totalsRowFunction="custom" dataDxfId="9" totalsRowDxfId="8" dataCellStyle="Currency">
      <totalsRowFormula>C5+C7</totalsRowFormula>
    </tableColumn>
    <tableColumn id="4" xr3:uid="{15AA167B-DB7B-4BBB-94F7-953A6D712300}" name="Pavadzīmes vai rēķina Nr." dataDxfId="7"/>
  </tableColumns>
  <tableStyleInfo name="TableStyleMedium2"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442B71B2-0C4E-43EC-8DDC-DA198CDB6AFB}" name="Table1317" displayName="Table1317" ref="A3:D6" totalsRowCount="1">
  <autoFilter ref="A3:D5" xr:uid="{442B71B2-0C4E-43EC-8DDC-DA198CDB6AFB}"/>
  <tableColumns count="4">
    <tableColumn id="1" xr3:uid="{D0B45A84-0D3C-4583-9992-7312CB76FDC2}" name="Gāzu tīkla izbūve skābekļa nodrošināšanai Covid-19 pacientiem  " totalsRowLabel="Total" dataDxfId="6" totalsRowDxfId="5"/>
    <tableColumn id="2" xr3:uid="{2EED4272-C5C4-48E8-B53B-6EF71CDA3FC6}" name="Datums" dataDxfId="4" totalsRowDxfId="3"/>
    <tableColumn id="3" xr3:uid="{516D3634-C46E-4850-826C-934D92CD3106}" name="Summa ar PVN" totalsRowFunction="sum" dataDxfId="2" totalsRowDxfId="1" dataCellStyle="Currency"/>
    <tableColumn id="4" xr3:uid="{FE09FF55-50FF-47A4-913E-7E21A4409E12}" name="Pavadzīmes vai rēķina Nr."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table" Target="../tables/table3.xml"/></Relationships>
</file>

<file path=xl/worksheets/_rels/sheet4.xml.rels><?xml version="1.0" encoding="UTF-8" standalone="yes"?>
<Relationships xmlns="http://schemas.openxmlformats.org/package/2006/relationships"><Relationship Id="rId1" Type="http://schemas.openxmlformats.org/officeDocument/2006/relationships/table" Target="../tables/table4.xml"/></Relationships>
</file>

<file path=xl/worksheets/_rels/sheet5.xml.rels><?xml version="1.0" encoding="UTF-8" standalone="yes"?>
<Relationships xmlns="http://schemas.openxmlformats.org/package/2006/relationships"><Relationship Id="rId2" Type="http://schemas.openxmlformats.org/officeDocument/2006/relationships/table" Target="../tables/table6.xml"/><Relationship Id="rId1" Type="http://schemas.openxmlformats.org/officeDocument/2006/relationships/table" Target="../tables/table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table" Target="../tables/table7.xml"/><Relationship Id="rId1" Type="http://schemas.openxmlformats.org/officeDocument/2006/relationships/printerSettings" Target="../printerSettings/printerSettings3.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2.xml.rels><?xml version="1.0" encoding="UTF-8" standalone="yes"?>
<Relationships xmlns="http://schemas.openxmlformats.org/package/2006/relationships"><Relationship Id="rId1" Type="http://schemas.openxmlformats.org/officeDocument/2006/relationships/table" Target="../tables/table9.x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4.xml.rels><?xml version="1.0" encoding="UTF-8" standalone="yes"?>
<Relationships xmlns="http://schemas.openxmlformats.org/package/2006/relationships"><Relationship Id="rId1" Type="http://schemas.openxmlformats.org/officeDocument/2006/relationships/table" Target="../tables/table10.xml"/></Relationships>
</file>

<file path=xl/worksheets/_rels/sheet15.xml.rels><?xml version="1.0" encoding="UTF-8" standalone="yes"?>
<Relationships xmlns="http://schemas.openxmlformats.org/package/2006/relationships"><Relationship Id="rId1" Type="http://schemas.openxmlformats.org/officeDocument/2006/relationships/table" Target="../tables/table11.xml"/></Relationships>
</file>

<file path=xl/worksheets/_rels/sheet17.xml.rels><?xml version="1.0" encoding="UTF-8" standalone="yes"?>
<Relationships xmlns="http://schemas.openxmlformats.org/package/2006/relationships"><Relationship Id="rId1" Type="http://schemas.openxmlformats.org/officeDocument/2006/relationships/table" Target="../tables/table12.xml"/></Relationships>
</file>

<file path=xl/worksheets/_rels/sheet18.xml.rels><?xml version="1.0" encoding="UTF-8" standalone="yes"?>
<Relationships xmlns="http://schemas.openxmlformats.org/package/2006/relationships"><Relationship Id="rId1" Type="http://schemas.openxmlformats.org/officeDocument/2006/relationships/table" Target="../tables/table1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07E7DF-8F8E-4549-A615-BC0B60274128}">
  <dimension ref="A1:J29"/>
  <sheetViews>
    <sheetView topLeftCell="A16" workbookViewId="0">
      <selection activeCell="D24" sqref="D24"/>
    </sheetView>
  </sheetViews>
  <sheetFormatPr defaultRowHeight="14.5" x14ac:dyDescent="0.35"/>
  <cols>
    <col min="2" max="2" width="28.453125" customWidth="1"/>
    <col min="3" max="3" width="44.26953125" customWidth="1"/>
    <col min="4" max="4" width="18.54296875" customWidth="1"/>
    <col min="5" max="5" width="14.453125" customWidth="1"/>
    <col min="6" max="6" width="16.7265625" customWidth="1"/>
  </cols>
  <sheetData>
    <row r="1" spans="1:10" x14ac:dyDescent="0.35">
      <c r="E1" t="s">
        <v>233</v>
      </c>
    </row>
    <row r="2" spans="1:10" ht="78" customHeight="1" x14ac:dyDescent="0.35">
      <c r="E2" s="123" t="s">
        <v>234</v>
      </c>
      <c r="F2" s="123"/>
    </row>
    <row r="3" spans="1:10" ht="15.75" customHeight="1" x14ac:dyDescent="0.35">
      <c r="E3" s="1"/>
    </row>
    <row r="4" spans="1:10" ht="48" customHeight="1" x14ac:dyDescent="0.35">
      <c r="A4" s="3" t="s">
        <v>5</v>
      </c>
      <c r="B4" s="3" t="s">
        <v>4</v>
      </c>
      <c r="C4" t="s">
        <v>2</v>
      </c>
      <c r="D4" s="1" t="s">
        <v>261</v>
      </c>
      <c r="E4" s="1" t="s">
        <v>224</v>
      </c>
      <c r="F4" s="1" t="s">
        <v>300</v>
      </c>
    </row>
    <row r="5" spans="1:10" ht="29" x14ac:dyDescent="0.35">
      <c r="A5" s="119">
        <v>1</v>
      </c>
      <c r="B5" s="120" t="s">
        <v>6</v>
      </c>
      <c r="C5" s="101"/>
      <c r="D5" s="103">
        <f>RAKUS!H32</f>
        <v>206959</v>
      </c>
      <c r="E5" s="103">
        <f>RAKUS!H33</f>
        <v>420511</v>
      </c>
      <c r="F5" s="103">
        <f>Table14[[#This Row],[2021.gadā veiktie pasākumi summa, euro]]+Table14[[#This Row],[2022.gadam nepieciešamā summa, euro]]</f>
        <v>627470</v>
      </c>
    </row>
    <row r="6" spans="1:10" x14ac:dyDescent="0.35">
      <c r="A6" s="114">
        <v>2</v>
      </c>
      <c r="B6" s="115" t="s">
        <v>7</v>
      </c>
      <c r="C6" s="101"/>
      <c r="D6" s="103">
        <f>Liepāja!E13</f>
        <v>807268</v>
      </c>
      <c r="E6" s="102"/>
      <c r="F6" s="103">
        <f>Table14[[#This Row],[2021.gadā veiktie pasākumi summa, euro]]+Table14[[#This Row],[2022.gadam nepieciešamā summa, euro]]</f>
        <v>807268</v>
      </c>
    </row>
    <row r="7" spans="1:10" ht="29" x14ac:dyDescent="0.35">
      <c r="A7" s="116">
        <v>4</v>
      </c>
      <c r="B7" s="117" t="s">
        <v>8</v>
      </c>
      <c r="C7" s="101" t="s">
        <v>23</v>
      </c>
      <c r="D7" s="103">
        <f>Ziemeļkurzeme!C9</f>
        <v>1245</v>
      </c>
      <c r="E7" s="103">
        <f>Ziemeļkurzeme!C10</f>
        <v>4393</v>
      </c>
      <c r="F7" s="104">
        <f>Table14[[#This Row],[2021.gadā veiktie pasākumi summa, euro]]+Table14[[#This Row],[2022.gadam nepieciešamā summa, euro]]</f>
        <v>5638</v>
      </c>
    </row>
    <row r="8" spans="1:10" x14ac:dyDescent="0.35">
      <c r="A8" s="114">
        <v>5</v>
      </c>
      <c r="B8" s="84" t="s">
        <v>9</v>
      </c>
      <c r="C8" s="101"/>
      <c r="D8" s="103">
        <f>Vidzeme!C12</f>
        <v>29436</v>
      </c>
      <c r="E8" s="102"/>
      <c r="F8" s="104">
        <f>Table14[[#This Row],[2021.gadā veiktie pasākumi summa, euro]]+Table14[[#This Row],[2022.gadam nepieciešamā summa, euro]]</f>
        <v>29436</v>
      </c>
    </row>
    <row r="9" spans="1:10" x14ac:dyDescent="0.35">
      <c r="A9" s="116">
        <v>6</v>
      </c>
      <c r="B9" s="117" t="s">
        <v>10</v>
      </c>
      <c r="C9" s="101"/>
      <c r="D9" s="103">
        <f>Daugavpils!I20</f>
        <v>29685</v>
      </c>
      <c r="E9" s="102"/>
      <c r="F9" s="104">
        <f>Table14[[#This Row],[2021.gadā veiktie pasākumi summa, euro]]+Table14[[#This Row],[2022.gadam nepieciešamā summa, euro]]</f>
        <v>29685</v>
      </c>
    </row>
    <row r="10" spans="1:10" x14ac:dyDescent="0.35">
      <c r="A10" s="114">
        <v>7</v>
      </c>
      <c r="B10" s="84" t="s">
        <v>11</v>
      </c>
      <c r="C10" s="101"/>
      <c r="D10" s="103">
        <f>Jelgava!C11</f>
        <v>2169</v>
      </c>
      <c r="E10" s="103">
        <f>Jelgava!C12</f>
        <v>62416</v>
      </c>
      <c r="F10" s="104">
        <f>Table14[[#This Row],[2021.gadā veiktie pasākumi summa, euro]]+Table14[[#This Row],[2022.gadam nepieciešamā summa, euro]]</f>
        <v>64585</v>
      </c>
    </row>
    <row r="11" spans="1:10" x14ac:dyDescent="0.35">
      <c r="A11" s="116">
        <v>8</v>
      </c>
      <c r="B11" s="120" t="s">
        <v>12</v>
      </c>
      <c r="C11" s="101"/>
      <c r="D11" s="103">
        <f>Jūrmala!C7</f>
        <v>11482</v>
      </c>
      <c r="E11" s="102"/>
      <c r="F11" s="104">
        <f>Table14[[#This Row],[2021.gadā veiktie pasākumi summa, euro]]+Table14[[#This Row],[2022.gadam nepieciešamā summa, euro]]</f>
        <v>11482</v>
      </c>
    </row>
    <row r="12" spans="1:10" x14ac:dyDescent="0.35">
      <c r="A12" s="114">
        <v>9</v>
      </c>
      <c r="B12" s="84" t="s">
        <v>13</v>
      </c>
      <c r="C12" s="101"/>
      <c r="D12" s="103">
        <f>Dobele!C8</f>
        <v>11475</v>
      </c>
      <c r="E12" s="102"/>
      <c r="F12" s="104">
        <f>Table14[[#This Row],[2021.gadā veiktie pasākumi summa, euro]]+Table14[[#This Row],[2022.gadam nepieciešamā summa, euro]]</f>
        <v>11475</v>
      </c>
    </row>
    <row r="13" spans="1:10" x14ac:dyDescent="0.35">
      <c r="A13" s="116">
        <v>10</v>
      </c>
      <c r="B13" s="117" t="s">
        <v>14</v>
      </c>
      <c r="C13" s="101"/>
      <c r="D13" s="103">
        <f>'Preiļu slimnīca'!C7</f>
        <v>1784</v>
      </c>
      <c r="E13" s="102"/>
      <c r="F13" s="104">
        <f>Table14[[#This Row],[2021.gadā veiktie pasākumi summa, euro]]+Table14[[#This Row],[2022.gadam nepieciešamā summa, euro]]</f>
        <v>1784</v>
      </c>
      <c r="J13" s="118"/>
    </row>
    <row r="14" spans="1:10" x14ac:dyDescent="0.35">
      <c r="A14" s="114">
        <v>11</v>
      </c>
      <c r="B14" s="84" t="s">
        <v>15</v>
      </c>
      <c r="C14" s="101"/>
      <c r="D14" s="103">
        <f>Tukums!C11</f>
        <v>23378</v>
      </c>
      <c r="E14" s="102"/>
      <c r="F14" s="104">
        <f>Table14[[#This Row],[2021.gadā veiktie pasākumi summa, euro]]+Table14[[#This Row],[2022.gadam nepieciešamā summa, euro]]</f>
        <v>23378</v>
      </c>
    </row>
    <row r="15" spans="1:10" x14ac:dyDescent="0.35">
      <c r="A15" s="116">
        <v>12</v>
      </c>
      <c r="B15" s="120" t="s">
        <v>16</v>
      </c>
      <c r="C15" s="101"/>
      <c r="D15" s="103">
        <f>Aizkraukle!C11</f>
        <v>11827</v>
      </c>
      <c r="E15" s="102"/>
      <c r="F15" s="104">
        <f>Table14[[#This Row],[2021.gadā veiktie pasākumi summa, euro]]+Table14[[#This Row],[2022.gadam nepieciešamā summa, euro]]</f>
        <v>11827</v>
      </c>
    </row>
    <row r="16" spans="1:10" x14ac:dyDescent="0.35">
      <c r="A16" s="114">
        <v>13</v>
      </c>
      <c r="B16" s="84" t="s">
        <v>17</v>
      </c>
      <c r="C16" s="101"/>
      <c r="D16" s="103">
        <f>Bauska!C7</f>
        <v>5482</v>
      </c>
      <c r="E16" s="102"/>
      <c r="F16" s="104">
        <f>Table14[[#This Row],[2021.gadā veiktie pasākumi summa, euro]]+Table14[[#This Row],[2022.gadam nepieciešamā summa, euro]]</f>
        <v>5482</v>
      </c>
    </row>
    <row r="17" spans="1:6" x14ac:dyDescent="0.35">
      <c r="A17" s="116">
        <v>14</v>
      </c>
      <c r="B17" s="120" t="s">
        <v>18</v>
      </c>
      <c r="C17" s="101"/>
      <c r="D17" s="103">
        <f>Ludza!C8</f>
        <v>11809</v>
      </c>
      <c r="E17" s="102"/>
      <c r="F17" s="104">
        <f>Table14[[#This Row],[2021.gadā veiktie pasākumi summa, euro]]+Table14[[#This Row],[2022.gadam nepieciešamā summa, euro]]</f>
        <v>11809</v>
      </c>
    </row>
    <row r="18" spans="1:6" x14ac:dyDescent="0.35">
      <c r="A18" s="114">
        <v>15</v>
      </c>
      <c r="B18" s="84" t="s">
        <v>19</v>
      </c>
      <c r="C18" s="101"/>
      <c r="D18" s="103">
        <f>Saldus!C10</f>
        <v>7370</v>
      </c>
      <c r="E18" s="102"/>
      <c r="F18" s="104">
        <f>Table14[[#This Row],[2021.gadā veiktie pasākumi summa, euro]]+Table14[[#This Row],[2022.gadam nepieciešamā summa, euro]]</f>
        <v>7370</v>
      </c>
    </row>
    <row r="19" spans="1:6" ht="29" x14ac:dyDescent="0.35">
      <c r="A19" s="116">
        <v>16</v>
      </c>
      <c r="B19" s="120" t="s">
        <v>20</v>
      </c>
      <c r="C19" s="101"/>
      <c r="D19" s="103">
        <f>TOS!C9</f>
        <v>7242</v>
      </c>
      <c r="E19" s="102"/>
      <c r="F19" s="104">
        <f>Table14[[#This Row],[2021.gadā veiktie pasākumi summa, euro]]+Table14[[#This Row],[2022.gadam nepieciešamā summa, euro]]</f>
        <v>7242</v>
      </c>
    </row>
    <row r="20" spans="1:6" x14ac:dyDescent="0.35">
      <c r="A20" s="114">
        <v>17</v>
      </c>
      <c r="B20" s="84" t="s">
        <v>21</v>
      </c>
      <c r="C20" s="101"/>
      <c r="D20" s="103">
        <f>'Rīgas 2.slimn'!C12</f>
        <v>1612</v>
      </c>
      <c r="E20" s="103">
        <f>'Rīgas 2.slimn'!C13</f>
        <v>10000</v>
      </c>
      <c r="F20" s="104">
        <f>Table14[[#This Row],[2021.gadā veiktie pasākumi summa, euro]]+Table14[[#This Row],[2022.gadam nepieciešamā summa, euro]]</f>
        <v>11612</v>
      </c>
    </row>
    <row r="21" spans="1:6" x14ac:dyDescent="0.35">
      <c r="A21" s="116">
        <v>18</v>
      </c>
      <c r="B21" s="120" t="s">
        <v>118</v>
      </c>
      <c r="C21" s="101"/>
      <c r="D21" s="103">
        <f>'Rīgas 1.slimnīca'!B12</f>
        <v>52395</v>
      </c>
      <c r="E21" s="102"/>
      <c r="F21" s="104">
        <f>Table14[[#This Row],[2021.gadā veiktie pasākumi summa, euro]]+Table14[[#This Row],[2022.gadam nepieciešamā summa, euro]]</f>
        <v>52395</v>
      </c>
    </row>
    <row r="22" spans="1:6" x14ac:dyDescent="0.35">
      <c r="C22" s="1" t="s">
        <v>22</v>
      </c>
      <c r="D22" s="38">
        <f>SUBTOTAL(109,Table14[2021.gadā veiktie pasākumi summa, euro])</f>
        <v>1222618</v>
      </c>
      <c r="E22" s="38">
        <f>SUBTOTAL(109,Table14[2022.gadam nepieciešamā summa, euro])</f>
        <v>497320</v>
      </c>
      <c r="F22" s="38">
        <f>SUBTOTAL(109,Table14[Pavisam kopā nepieciešams, euro])</f>
        <v>1719938</v>
      </c>
    </row>
    <row r="24" spans="1:6" ht="29" x14ac:dyDescent="0.35">
      <c r="C24" s="110" t="s">
        <v>299</v>
      </c>
      <c r="D24" s="90">
        <f>D5+E5+D19</f>
        <v>634712</v>
      </c>
      <c r="E24" s="90">
        <f>D24</f>
        <v>634712</v>
      </c>
    </row>
    <row r="25" spans="1:6" x14ac:dyDescent="0.35">
      <c r="C25" t="s">
        <v>237</v>
      </c>
      <c r="D25" s="121">
        <f>D6+D7+D8+D9+D10+E10+D11+D12+D13+D14+D16+D15+D17+D18+D20+E20+D21+E7</f>
        <v>1085226</v>
      </c>
      <c r="E25" s="121">
        <f>E6+E7+E8+E9+E10+F10+E11+E12+E13+E14+E16+E15+E17+E18+E20+F20+E21+F7</f>
        <v>158644</v>
      </c>
      <c r="F25" s="90">
        <f>F6+F7+F8+F9+F10+G10+F11+F12+F13+F14+F16+F15+F17+F18+F20+G20+F21+G7</f>
        <v>1085226</v>
      </c>
    </row>
    <row r="27" spans="1:6" x14ac:dyDescent="0.35">
      <c r="C27" t="s">
        <v>238</v>
      </c>
      <c r="D27" s="90">
        <v>439276</v>
      </c>
    </row>
    <row r="29" spans="1:6" x14ac:dyDescent="0.35">
      <c r="C29" s="113" t="s">
        <v>301</v>
      </c>
      <c r="D29" s="90">
        <f>D24+D25+D27</f>
        <v>2159214</v>
      </c>
    </row>
  </sheetData>
  <mergeCells count="1">
    <mergeCell ref="E2:F2"/>
  </mergeCells>
  <phoneticPr fontId="3" type="noConversion"/>
  <pageMargins left="0.7" right="0.7" top="0.75" bottom="0.75" header="0.3" footer="0.3"/>
  <pageSetup paperSize="9" orientation="portrait" verticalDpi="0"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AA9D92-61A2-46CE-90D2-18BDA653CEA1}">
  <sheetPr>
    <tabColor rgb="FF92D050"/>
    <pageSetUpPr fitToPage="1"/>
  </sheetPr>
  <dimension ref="A1:J33"/>
  <sheetViews>
    <sheetView topLeftCell="A58" workbookViewId="0">
      <selection activeCell="M15" sqref="M15"/>
    </sheetView>
  </sheetViews>
  <sheetFormatPr defaultColWidth="9.1796875" defaultRowHeight="14.5" x14ac:dyDescent="0.35"/>
  <cols>
    <col min="1" max="1" width="6.81640625" style="54" customWidth="1"/>
    <col min="2" max="2" width="29.26953125" style="55" customWidth="1"/>
    <col min="3" max="3" width="14" style="55" customWidth="1"/>
    <col min="4" max="4" width="13.7265625" style="54" customWidth="1"/>
    <col min="5" max="5" width="19.81640625" style="54" customWidth="1"/>
    <col min="6" max="6" width="13.7265625" style="54" customWidth="1"/>
    <col min="7" max="7" width="18.26953125" style="55" customWidth="1"/>
    <col min="8" max="8" width="24" style="54" customWidth="1"/>
    <col min="9" max="9" width="16.7265625" style="54" customWidth="1"/>
    <col min="10" max="10" width="19.26953125" style="54" customWidth="1"/>
    <col min="11" max="16384" width="9.1796875" style="54"/>
  </cols>
  <sheetData>
    <row r="1" spans="1:10" x14ac:dyDescent="0.35">
      <c r="I1" s="66" t="s">
        <v>239</v>
      </c>
      <c r="J1" s="65"/>
    </row>
    <row r="2" spans="1:10" x14ac:dyDescent="0.35">
      <c r="J2" s="65"/>
    </row>
    <row r="3" spans="1:10" ht="26" x14ac:dyDescent="0.35">
      <c r="A3" s="64" t="s">
        <v>213</v>
      </c>
      <c r="B3" s="63" t="s">
        <v>212</v>
      </c>
      <c r="C3" s="63" t="s">
        <v>211</v>
      </c>
      <c r="D3" s="64" t="s">
        <v>210</v>
      </c>
      <c r="E3" s="64" t="s">
        <v>209</v>
      </c>
      <c r="F3" s="63" t="s">
        <v>208</v>
      </c>
      <c r="G3" s="64" t="s">
        <v>226</v>
      </c>
      <c r="H3" s="64" t="s">
        <v>267</v>
      </c>
      <c r="I3" s="63" t="s">
        <v>207</v>
      </c>
    </row>
    <row r="4" spans="1:10" ht="58" x14ac:dyDescent="0.35">
      <c r="A4" s="54" t="s">
        <v>206</v>
      </c>
      <c r="B4" s="62" t="s">
        <v>205</v>
      </c>
      <c r="C4" s="62" t="s">
        <v>204</v>
      </c>
      <c r="D4" s="62" t="s">
        <v>145</v>
      </c>
      <c r="E4" s="62" t="s">
        <v>136</v>
      </c>
      <c r="F4" s="61" t="s">
        <v>135</v>
      </c>
      <c r="G4" s="60">
        <f>24577.52*1.21</f>
        <v>29738.799200000001</v>
      </c>
      <c r="H4" s="91" t="s">
        <v>262</v>
      </c>
      <c r="I4" s="55" t="s">
        <v>134</v>
      </c>
    </row>
    <row r="5" spans="1:10" ht="72.5" x14ac:dyDescent="0.35">
      <c r="A5" s="54" t="s">
        <v>203</v>
      </c>
      <c r="B5" s="62" t="s">
        <v>202</v>
      </c>
      <c r="C5" s="62" t="s">
        <v>201</v>
      </c>
      <c r="D5" s="62" t="s">
        <v>145</v>
      </c>
      <c r="E5" s="62" t="s">
        <v>268</v>
      </c>
      <c r="F5" s="61" t="s">
        <v>135</v>
      </c>
      <c r="G5" s="60">
        <f>43667.16*1.21</f>
        <v>52837.263600000006</v>
      </c>
      <c r="H5" s="91" t="s">
        <v>269</v>
      </c>
      <c r="I5" s="55" t="s">
        <v>134</v>
      </c>
    </row>
    <row r="6" spans="1:10" ht="58" x14ac:dyDescent="0.35">
      <c r="A6" s="54" t="s">
        <v>200</v>
      </c>
      <c r="B6" s="62" t="s">
        <v>199</v>
      </c>
      <c r="C6" s="62" t="s">
        <v>198</v>
      </c>
      <c r="D6" s="62" t="s">
        <v>145</v>
      </c>
      <c r="E6" s="62" t="s">
        <v>268</v>
      </c>
      <c r="F6" s="61" t="s">
        <v>135</v>
      </c>
      <c r="G6" s="60">
        <f>15781.5*1.21</f>
        <v>19095.614999999998</v>
      </c>
      <c r="H6" s="91" t="s">
        <v>269</v>
      </c>
      <c r="I6" s="55" t="s">
        <v>134</v>
      </c>
    </row>
    <row r="7" spans="1:10" ht="58" x14ac:dyDescent="0.35">
      <c r="A7" s="54" t="s">
        <v>197</v>
      </c>
      <c r="B7" s="62" t="s">
        <v>196</v>
      </c>
      <c r="C7" s="62" t="s">
        <v>195</v>
      </c>
      <c r="D7" s="62" t="s">
        <v>141</v>
      </c>
      <c r="E7" s="62" t="s">
        <v>136</v>
      </c>
      <c r="F7" s="61" t="s">
        <v>135</v>
      </c>
      <c r="G7" s="60">
        <f>6314.78*1.21</f>
        <v>7640.8837999999996</v>
      </c>
      <c r="H7" s="91" t="s">
        <v>262</v>
      </c>
      <c r="I7" s="55" t="s">
        <v>134</v>
      </c>
    </row>
    <row r="8" spans="1:10" ht="58" x14ac:dyDescent="0.35">
      <c r="A8" s="54" t="s">
        <v>194</v>
      </c>
      <c r="B8" s="62" t="s">
        <v>193</v>
      </c>
      <c r="C8" s="62" t="s">
        <v>192</v>
      </c>
      <c r="D8" s="62" t="s">
        <v>141</v>
      </c>
      <c r="E8" s="62" t="s">
        <v>270</v>
      </c>
      <c r="F8" s="61" t="s">
        <v>135</v>
      </c>
      <c r="G8" s="60">
        <f>61370.9*1.21</f>
        <v>74258.789000000004</v>
      </c>
      <c r="H8" s="91" t="s">
        <v>269</v>
      </c>
      <c r="I8" s="55" t="s">
        <v>134</v>
      </c>
    </row>
    <row r="9" spans="1:10" ht="58" x14ac:dyDescent="0.35">
      <c r="A9" s="54" t="s">
        <v>191</v>
      </c>
      <c r="B9" s="62" t="s">
        <v>190</v>
      </c>
      <c r="C9" s="62" t="s">
        <v>189</v>
      </c>
      <c r="D9" s="62" t="s">
        <v>157</v>
      </c>
      <c r="E9" s="62" t="s">
        <v>136</v>
      </c>
      <c r="F9" s="61" t="s">
        <v>135</v>
      </c>
      <c r="G9" s="60">
        <f>2002.51*1.21</f>
        <v>2423.0371</v>
      </c>
      <c r="H9" s="91" t="s">
        <v>263</v>
      </c>
      <c r="I9" s="55" t="s">
        <v>134</v>
      </c>
    </row>
    <row r="10" spans="1:10" ht="58" x14ac:dyDescent="0.35">
      <c r="A10" s="54" t="s">
        <v>188</v>
      </c>
      <c r="B10" s="62" t="s">
        <v>271</v>
      </c>
      <c r="C10" s="62"/>
      <c r="D10" s="62" t="s">
        <v>157</v>
      </c>
      <c r="E10" s="62" t="s">
        <v>152</v>
      </c>
      <c r="F10" s="61" t="s">
        <v>135</v>
      </c>
      <c r="G10" s="60">
        <f>70000*1.21</f>
        <v>84700</v>
      </c>
      <c r="H10" s="91" t="s">
        <v>302</v>
      </c>
      <c r="I10" s="55"/>
    </row>
    <row r="11" spans="1:10" ht="58" x14ac:dyDescent="0.35">
      <c r="A11" s="54" t="s">
        <v>187</v>
      </c>
      <c r="B11" s="62" t="s">
        <v>186</v>
      </c>
      <c r="C11" s="62"/>
      <c r="D11" s="62" t="s">
        <v>157</v>
      </c>
      <c r="E11" s="62" t="s">
        <v>152</v>
      </c>
      <c r="F11" s="61" t="s">
        <v>135</v>
      </c>
      <c r="G11" s="60">
        <f>8000*1.21</f>
        <v>9680</v>
      </c>
      <c r="H11" s="91" t="s">
        <v>302</v>
      </c>
      <c r="I11" s="55"/>
    </row>
    <row r="12" spans="1:10" ht="37.5" customHeight="1" x14ac:dyDescent="0.35">
      <c r="A12" s="54" t="s">
        <v>185</v>
      </c>
      <c r="B12" s="62" t="s">
        <v>184</v>
      </c>
      <c r="C12" s="62"/>
      <c r="D12" s="62" t="s">
        <v>137</v>
      </c>
      <c r="E12" s="62" t="s">
        <v>152</v>
      </c>
      <c r="F12" s="61" t="s">
        <v>135</v>
      </c>
      <c r="G12" s="60">
        <f>5000*1.21</f>
        <v>6050</v>
      </c>
      <c r="H12" s="91" t="s">
        <v>302</v>
      </c>
      <c r="I12" s="55"/>
    </row>
    <row r="13" spans="1:10" ht="58" x14ac:dyDescent="0.35">
      <c r="A13" s="54" t="s">
        <v>183</v>
      </c>
      <c r="B13" s="62" t="s">
        <v>182</v>
      </c>
      <c r="C13" s="62" t="s">
        <v>181</v>
      </c>
      <c r="D13" s="62" t="s">
        <v>145</v>
      </c>
      <c r="E13" s="62" t="s">
        <v>136</v>
      </c>
      <c r="F13" s="61" t="s">
        <v>135</v>
      </c>
      <c r="G13" s="60">
        <f>17196*1.21</f>
        <v>20807.16</v>
      </c>
      <c r="H13" s="91" t="s">
        <v>264</v>
      </c>
      <c r="I13" s="55" t="s">
        <v>134</v>
      </c>
    </row>
    <row r="14" spans="1:10" ht="58" x14ac:dyDescent="0.35">
      <c r="A14" s="54" t="s">
        <v>180</v>
      </c>
      <c r="B14" s="62" t="s">
        <v>179</v>
      </c>
      <c r="C14" s="62"/>
      <c r="D14" s="62" t="s">
        <v>178</v>
      </c>
      <c r="E14" s="62" t="s">
        <v>152</v>
      </c>
      <c r="F14" s="61" t="s">
        <v>135</v>
      </c>
      <c r="G14" s="60">
        <f>18000*1.21</f>
        <v>21780</v>
      </c>
      <c r="H14" s="91" t="s">
        <v>302</v>
      </c>
      <c r="I14" s="55"/>
    </row>
    <row r="15" spans="1:10" ht="72.5" x14ac:dyDescent="0.35">
      <c r="A15" s="54" t="s">
        <v>177</v>
      </c>
      <c r="B15" s="62" t="s">
        <v>176</v>
      </c>
      <c r="C15" s="62" t="s">
        <v>175</v>
      </c>
      <c r="D15" s="62" t="s">
        <v>137</v>
      </c>
      <c r="E15" s="62" t="s">
        <v>136</v>
      </c>
      <c r="F15" s="61" t="s">
        <v>135</v>
      </c>
      <c r="G15" s="60">
        <f>59596.75*1.21</f>
        <v>72112.067500000005</v>
      </c>
      <c r="H15" s="91" t="s">
        <v>263</v>
      </c>
      <c r="I15" s="55" t="s">
        <v>151</v>
      </c>
    </row>
    <row r="16" spans="1:10" ht="58" x14ac:dyDescent="0.35">
      <c r="A16" s="54" t="s">
        <v>174</v>
      </c>
      <c r="B16" s="62" t="s">
        <v>173</v>
      </c>
      <c r="C16" s="62"/>
      <c r="D16" s="62" t="s">
        <v>137</v>
      </c>
      <c r="E16" s="62" t="s">
        <v>136</v>
      </c>
      <c r="F16" s="61" t="s">
        <v>135</v>
      </c>
      <c r="G16" s="60">
        <f>(3212.39-557.52)*1.21</f>
        <v>3212.3926999999999</v>
      </c>
      <c r="H16" s="91" t="s">
        <v>265</v>
      </c>
      <c r="I16" s="55" t="s">
        <v>134</v>
      </c>
    </row>
    <row r="17" spans="1:9" ht="72.5" x14ac:dyDescent="0.35">
      <c r="A17" s="54" t="s">
        <v>172</v>
      </c>
      <c r="B17" s="62" t="s">
        <v>171</v>
      </c>
      <c r="C17" s="62" t="s">
        <v>272</v>
      </c>
      <c r="D17" s="62" t="s">
        <v>137</v>
      </c>
      <c r="E17" s="62" t="s">
        <v>136</v>
      </c>
      <c r="F17" s="61" t="s">
        <v>135</v>
      </c>
      <c r="G17" s="60">
        <f>4205.4*1.21</f>
        <v>5088.5339999999997</v>
      </c>
      <c r="H17" s="91" t="s">
        <v>263</v>
      </c>
      <c r="I17" s="55" t="s">
        <v>151</v>
      </c>
    </row>
    <row r="18" spans="1:9" ht="72.5" x14ac:dyDescent="0.35">
      <c r="A18" s="54" t="s">
        <v>170</v>
      </c>
      <c r="B18" s="62" t="s">
        <v>169</v>
      </c>
      <c r="C18" s="62" t="s">
        <v>273</v>
      </c>
      <c r="D18" s="62" t="s">
        <v>137</v>
      </c>
      <c r="E18" s="62" t="s">
        <v>136</v>
      </c>
      <c r="F18" s="61" t="s">
        <v>135</v>
      </c>
      <c r="G18" s="60">
        <f>2515.79*1.21</f>
        <v>3044.1059</v>
      </c>
      <c r="H18" s="91" t="s">
        <v>263</v>
      </c>
      <c r="I18" s="55" t="s">
        <v>151</v>
      </c>
    </row>
    <row r="19" spans="1:9" ht="72.5" x14ac:dyDescent="0.35">
      <c r="A19" s="54" t="s">
        <v>168</v>
      </c>
      <c r="B19" s="62" t="s">
        <v>167</v>
      </c>
      <c r="C19" s="62" t="s">
        <v>166</v>
      </c>
      <c r="D19" s="62" t="s">
        <v>137</v>
      </c>
      <c r="E19" s="62" t="s">
        <v>270</v>
      </c>
      <c r="F19" s="61" t="s">
        <v>135</v>
      </c>
      <c r="G19" s="60">
        <f>53076.37*1.21</f>
        <v>64222.407700000003</v>
      </c>
      <c r="H19" s="91" t="s">
        <v>269</v>
      </c>
      <c r="I19" s="55" t="s">
        <v>151</v>
      </c>
    </row>
    <row r="20" spans="1:9" ht="72.5" x14ac:dyDescent="0.35">
      <c r="A20" s="54" t="s">
        <v>165</v>
      </c>
      <c r="B20" s="62" t="s">
        <v>164</v>
      </c>
      <c r="C20" s="62" t="s">
        <v>274</v>
      </c>
      <c r="D20" s="62" t="s">
        <v>137</v>
      </c>
      <c r="E20" s="62" t="s">
        <v>136</v>
      </c>
      <c r="F20" s="61" t="s">
        <v>135</v>
      </c>
      <c r="G20" s="60">
        <f>20381.25*1.21</f>
        <v>24661.3125</v>
      </c>
      <c r="H20" s="91" t="s">
        <v>263</v>
      </c>
      <c r="I20" s="55" t="s">
        <v>151</v>
      </c>
    </row>
    <row r="21" spans="1:9" ht="72.5" x14ac:dyDescent="0.35">
      <c r="A21" s="54" t="s">
        <v>163</v>
      </c>
      <c r="B21" s="62" t="s">
        <v>162</v>
      </c>
      <c r="C21" s="62" t="s">
        <v>275</v>
      </c>
      <c r="D21" s="62" t="s">
        <v>137</v>
      </c>
      <c r="E21" s="62" t="s">
        <v>270</v>
      </c>
      <c r="F21" s="61" t="s">
        <v>135</v>
      </c>
      <c r="G21" s="60">
        <f>24800.29*1.21</f>
        <v>30008.350900000001</v>
      </c>
      <c r="H21" s="91" t="s">
        <v>269</v>
      </c>
      <c r="I21" s="55" t="s">
        <v>151</v>
      </c>
    </row>
    <row r="22" spans="1:9" ht="72.5" x14ac:dyDescent="0.35">
      <c r="A22" s="54" t="s">
        <v>161</v>
      </c>
      <c r="B22" s="62" t="s">
        <v>160</v>
      </c>
      <c r="C22" s="62" t="s">
        <v>276</v>
      </c>
      <c r="D22" s="62" t="s">
        <v>137</v>
      </c>
      <c r="E22" s="62" t="s">
        <v>268</v>
      </c>
      <c r="F22" s="61" t="s">
        <v>135</v>
      </c>
      <c r="G22" s="60">
        <f>22225.59*1.21</f>
        <v>26892.963899999999</v>
      </c>
      <c r="H22" s="91" t="s">
        <v>269</v>
      </c>
      <c r="I22" s="55" t="s">
        <v>151</v>
      </c>
    </row>
    <row r="23" spans="1:9" ht="72.5" x14ac:dyDescent="0.35">
      <c r="A23" s="54" t="s">
        <v>159</v>
      </c>
      <c r="B23" s="62" t="s">
        <v>158</v>
      </c>
      <c r="C23" s="62" t="s">
        <v>277</v>
      </c>
      <c r="D23" s="62" t="s">
        <v>157</v>
      </c>
      <c r="E23" s="62" t="s">
        <v>136</v>
      </c>
      <c r="F23" s="61" t="s">
        <v>135</v>
      </c>
      <c r="G23" s="60">
        <f>1862.22*1.21</f>
        <v>2253.2862</v>
      </c>
      <c r="H23" s="91" t="s">
        <v>262</v>
      </c>
      <c r="I23" s="55" t="s">
        <v>151</v>
      </c>
    </row>
    <row r="24" spans="1:9" ht="72.5" x14ac:dyDescent="0.35">
      <c r="A24" s="54" t="s">
        <v>156</v>
      </c>
      <c r="B24" s="62" t="s">
        <v>155</v>
      </c>
      <c r="C24" s="62" t="s">
        <v>278</v>
      </c>
      <c r="D24" s="62" t="s">
        <v>145</v>
      </c>
      <c r="E24" s="62" t="s">
        <v>268</v>
      </c>
      <c r="F24" s="61" t="s">
        <v>135</v>
      </c>
      <c r="G24" s="60">
        <f>17108.28*1.21</f>
        <v>20701.018799999998</v>
      </c>
      <c r="H24" s="91" t="s">
        <v>269</v>
      </c>
      <c r="I24" s="55" t="s">
        <v>151</v>
      </c>
    </row>
    <row r="25" spans="1:9" ht="72.5" x14ac:dyDescent="0.35">
      <c r="A25" s="54" t="s">
        <v>154</v>
      </c>
      <c r="B25" s="62" t="s">
        <v>153</v>
      </c>
      <c r="C25" s="62" t="s">
        <v>279</v>
      </c>
      <c r="D25" s="62" t="s">
        <v>137</v>
      </c>
      <c r="E25" s="62" t="s">
        <v>270</v>
      </c>
      <c r="F25" s="61" t="s">
        <v>135</v>
      </c>
      <c r="G25" s="60">
        <f>8500*1.21</f>
        <v>10285</v>
      </c>
      <c r="H25" s="91" t="s">
        <v>269</v>
      </c>
      <c r="I25" s="55" t="s">
        <v>151</v>
      </c>
    </row>
    <row r="26" spans="1:9" ht="58" x14ac:dyDescent="0.35">
      <c r="A26" s="54" t="s">
        <v>150</v>
      </c>
      <c r="B26" s="62" t="s">
        <v>147</v>
      </c>
      <c r="C26" s="62" t="s">
        <v>149</v>
      </c>
      <c r="D26" s="62" t="s">
        <v>145</v>
      </c>
      <c r="E26" s="62" t="s">
        <v>136</v>
      </c>
      <c r="F26" s="61" t="s">
        <v>135</v>
      </c>
      <c r="G26" s="60">
        <f>3630.08*1.21</f>
        <v>4392.3967999999995</v>
      </c>
      <c r="H26" s="91" t="s">
        <v>266</v>
      </c>
      <c r="I26" s="55" t="s">
        <v>134</v>
      </c>
    </row>
    <row r="27" spans="1:9" ht="58" x14ac:dyDescent="0.35">
      <c r="A27" s="54" t="s">
        <v>148</v>
      </c>
      <c r="B27" s="62" t="s">
        <v>147</v>
      </c>
      <c r="C27" s="62" t="s">
        <v>146</v>
      </c>
      <c r="D27" s="62" t="s">
        <v>145</v>
      </c>
      <c r="E27" s="62" t="s">
        <v>136</v>
      </c>
      <c r="F27" s="61" t="s">
        <v>135</v>
      </c>
      <c r="G27" s="60">
        <f>3774.81*1.21</f>
        <v>4567.5200999999997</v>
      </c>
      <c r="H27" s="91" t="s">
        <v>266</v>
      </c>
      <c r="I27" s="55" t="s">
        <v>134</v>
      </c>
    </row>
    <row r="28" spans="1:9" s="55" customFormat="1" ht="58" x14ac:dyDescent="0.35">
      <c r="A28" s="54" t="s">
        <v>144</v>
      </c>
      <c r="B28" s="62" t="s">
        <v>143</v>
      </c>
      <c r="C28" s="62" t="s">
        <v>142</v>
      </c>
      <c r="D28" s="62" t="s">
        <v>141</v>
      </c>
      <c r="E28" s="62" t="s">
        <v>136</v>
      </c>
      <c r="F28" s="61" t="s">
        <v>135</v>
      </c>
      <c r="G28" s="60">
        <f>4817.74*1.21</f>
        <v>5829.4653999999991</v>
      </c>
      <c r="H28" s="91" t="s">
        <v>266</v>
      </c>
      <c r="I28" s="55" t="s">
        <v>134</v>
      </c>
    </row>
    <row r="29" spans="1:9" s="55" customFormat="1" ht="58" x14ac:dyDescent="0.35">
      <c r="A29" s="54" t="s">
        <v>140</v>
      </c>
      <c r="B29" s="62" t="s">
        <v>139</v>
      </c>
      <c r="C29" s="62" t="s">
        <v>138</v>
      </c>
      <c r="D29" s="62" t="s">
        <v>137</v>
      </c>
      <c r="E29" s="62" t="s">
        <v>136</v>
      </c>
      <c r="F29" s="61" t="s">
        <v>135</v>
      </c>
      <c r="G29" s="60">
        <f>17510*1.21</f>
        <v>21187.1</v>
      </c>
      <c r="H29" s="91" t="s">
        <v>266</v>
      </c>
      <c r="I29" s="55" t="s">
        <v>134</v>
      </c>
    </row>
    <row r="30" spans="1:9" x14ac:dyDescent="0.35">
      <c r="A30" s="58" t="s">
        <v>280</v>
      </c>
      <c r="B30" s="59"/>
      <c r="C30" s="59"/>
      <c r="D30" s="59"/>
      <c r="E30" s="59"/>
      <c r="F30" s="58"/>
      <c r="G30" s="92">
        <f>ROUNDUP(SUBTOTAL(109,G4:G29),0)</f>
        <v>627470</v>
      </c>
      <c r="H30" s="57"/>
      <c r="I30" s="56"/>
    </row>
    <row r="31" spans="1:9" x14ac:dyDescent="0.35">
      <c r="A31" s="58"/>
      <c r="B31" s="59"/>
      <c r="C31" s="59"/>
      <c r="D31" s="59"/>
      <c r="E31" s="59"/>
      <c r="F31" s="58"/>
      <c r="G31" s="57"/>
      <c r="H31" s="57"/>
      <c r="I31" s="56"/>
    </row>
    <row r="32" spans="1:9" ht="75.75" customHeight="1" x14ac:dyDescent="0.35">
      <c r="G32" s="55" t="s">
        <v>236</v>
      </c>
      <c r="H32" s="85">
        <f>ROUNDUP(G4+G7+G9+G13+G15+G16+G17+G18+G20+G23+G26+G27+G28+G29,0)</f>
        <v>206959</v>
      </c>
    </row>
    <row r="33" spans="7:8" ht="43.5" x14ac:dyDescent="0.35">
      <c r="G33" s="55" t="s">
        <v>235</v>
      </c>
      <c r="H33" s="85">
        <f>ROUND(G25+G24+G22+G21+G19+G14+G12+G11+G10+G8+G6+G5,)</f>
        <v>420511</v>
      </c>
    </row>
  </sheetData>
  <phoneticPr fontId="3" type="noConversion"/>
  <pageMargins left="0.70000000000000007" right="0.70000000000000007" top="0.75" bottom="0.75" header="0.30000000000000004" footer="0.30000000000000004"/>
  <pageSetup paperSize="9" scale="51" fitToHeight="0" orientation="landscape"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0F24E3-E543-4805-B9A9-AC9BDD226900}">
  <sheetPr>
    <tabColor rgb="FF92D050"/>
  </sheetPr>
  <dimension ref="A1:F14"/>
  <sheetViews>
    <sheetView tabSelected="1" topLeftCell="A16" workbookViewId="0">
      <selection activeCell="I6" sqref="I6"/>
    </sheetView>
  </sheetViews>
  <sheetFormatPr defaultRowHeight="14.5" x14ac:dyDescent="0.35"/>
  <cols>
    <col min="1" max="1" width="41" customWidth="1"/>
    <col min="2" max="2" width="13.7265625" customWidth="1"/>
    <col min="3" max="3" width="13" customWidth="1"/>
    <col min="4" max="4" width="25.1796875" customWidth="1"/>
    <col min="5" max="5" width="13.81640625" customWidth="1"/>
    <col min="6" max="6" width="15" customWidth="1"/>
  </cols>
  <sheetData>
    <row r="1" spans="1:6" x14ac:dyDescent="0.35">
      <c r="F1" s="66" t="s">
        <v>240</v>
      </c>
    </row>
    <row r="2" spans="1:6" x14ac:dyDescent="0.35">
      <c r="F2" s="66"/>
    </row>
    <row r="3" spans="1:6" ht="39" customHeight="1" x14ac:dyDescent="0.35">
      <c r="A3" s="5" t="s">
        <v>69</v>
      </c>
      <c r="B3" s="6" t="s">
        <v>0</v>
      </c>
      <c r="C3" s="6" t="s">
        <v>1</v>
      </c>
      <c r="D3" s="5" t="s">
        <v>24</v>
      </c>
      <c r="E3" s="41" t="s">
        <v>90</v>
      </c>
      <c r="F3" s="41" t="s">
        <v>91</v>
      </c>
    </row>
    <row r="4" spans="1:6" x14ac:dyDescent="0.35">
      <c r="A4" s="5" t="s">
        <v>71</v>
      </c>
      <c r="B4" s="6" t="s">
        <v>78</v>
      </c>
      <c r="C4" s="7">
        <v>130971.61</v>
      </c>
      <c r="D4" s="5" t="s">
        <v>84</v>
      </c>
      <c r="E4" s="42">
        <v>0</v>
      </c>
      <c r="F4" s="43">
        <v>130971.61</v>
      </c>
    </row>
    <row r="5" spans="1:6" x14ac:dyDescent="0.35">
      <c r="A5" s="5" t="s">
        <v>72</v>
      </c>
      <c r="B5" s="6" t="s">
        <v>79</v>
      </c>
      <c r="C5" s="7">
        <v>34131.68</v>
      </c>
      <c r="D5" s="6" t="s">
        <v>85</v>
      </c>
      <c r="E5" s="42">
        <v>0</v>
      </c>
      <c r="F5" s="43">
        <v>34131.68</v>
      </c>
    </row>
    <row r="6" spans="1:6" ht="29" x14ac:dyDescent="0.35">
      <c r="A6" s="5" t="s">
        <v>73</v>
      </c>
      <c r="B6" s="6" t="s">
        <v>80</v>
      </c>
      <c r="C6" s="7">
        <v>11009.79</v>
      </c>
      <c r="D6" s="5" t="s">
        <v>86</v>
      </c>
      <c r="E6" s="43">
        <v>11009.79</v>
      </c>
      <c r="F6" s="42">
        <v>0</v>
      </c>
    </row>
    <row r="7" spans="1:6" x14ac:dyDescent="0.35">
      <c r="A7" s="5" t="s">
        <v>74</v>
      </c>
      <c r="B7" s="6" t="s">
        <v>81</v>
      </c>
      <c r="C7" s="7">
        <v>13352.96</v>
      </c>
      <c r="D7" s="6" t="s">
        <v>87</v>
      </c>
      <c r="E7" s="43">
        <v>13352.96</v>
      </c>
      <c r="F7" s="42">
        <v>0</v>
      </c>
    </row>
    <row r="8" spans="1:6" ht="29" x14ac:dyDescent="0.35">
      <c r="A8" s="5" t="s">
        <v>75</v>
      </c>
      <c r="B8" s="6" t="s">
        <v>82</v>
      </c>
      <c r="C8" s="7">
        <v>3507.79</v>
      </c>
      <c r="D8" s="5" t="s">
        <v>86</v>
      </c>
      <c r="E8" s="43">
        <v>3507.79</v>
      </c>
      <c r="F8" s="42">
        <v>0</v>
      </c>
    </row>
    <row r="9" spans="1:6" ht="29" x14ac:dyDescent="0.35">
      <c r="A9" s="5" t="s">
        <v>76</v>
      </c>
      <c r="B9" s="6" t="s">
        <v>83</v>
      </c>
      <c r="C9" s="7">
        <v>22143</v>
      </c>
      <c r="D9" s="5" t="s">
        <v>88</v>
      </c>
      <c r="E9" s="43">
        <v>22143</v>
      </c>
      <c r="F9" s="42">
        <v>0</v>
      </c>
    </row>
    <row r="10" spans="1:6" ht="29" x14ac:dyDescent="0.35">
      <c r="A10" s="6" t="s">
        <v>77</v>
      </c>
      <c r="B10" s="6" t="s">
        <v>82</v>
      </c>
      <c r="C10" s="7">
        <v>889906.6</v>
      </c>
      <c r="D10" s="5" t="s">
        <v>89</v>
      </c>
      <c r="E10" s="43">
        <v>757254.3</v>
      </c>
      <c r="F10" s="43">
        <v>132652.29999999999</v>
      </c>
    </row>
    <row r="11" spans="1:6" x14ac:dyDescent="0.35">
      <c r="A11" s="6" t="s">
        <v>3</v>
      </c>
      <c r="B11" s="6"/>
      <c r="C11" s="37">
        <f>SUBTOTAL(109,Table1315[Summa ar PVN])</f>
        <v>1105023.43</v>
      </c>
      <c r="E11" s="45">
        <f>SUBTOTAL(109,Table1315[LRS finansējums])</f>
        <v>807267.84000000008</v>
      </c>
      <c r="F11" s="44">
        <f>SUBTOTAL(109,Table1315[NVD/ERAF finansējms])</f>
        <v>297755.58999999997</v>
      </c>
    </row>
    <row r="13" spans="1:6" ht="43.5" x14ac:dyDescent="0.35">
      <c r="D13" s="55" t="s">
        <v>236</v>
      </c>
      <c r="E13" s="86">
        <f>ROUND(Table1315[[#Totals],[LRS finansējums]],0)</f>
        <v>807268</v>
      </c>
    </row>
    <row r="14" spans="1:6" x14ac:dyDescent="0.35">
      <c r="D14" s="55"/>
    </row>
  </sheetData>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D2C400-AE5E-4521-9256-0469612BBCC6}">
  <sheetPr>
    <tabColor rgb="FF92D050"/>
  </sheetPr>
  <dimension ref="A1:D10"/>
  <sheetViews>
    <sheetView workbookViewId="0">
      <selection activeCell="G4" sqref="G4"/>
    </sheetView>
  </sheetViews>
  <sheetFormatPr defaultRowHeight="14.5" x14ac:dyDescent="0.35"/>
  <cols>
    <col min="1" max="1" width="27.1796875" customWidth="1"/>
    <col min="2" max="2" width="16.453125" customWidth="1"/>
    <col min="3" max="3" width="17.54296875" customWidth="1"/>
    <col min="4" max="4" width="46.1796875" customWidth="1"/>
  </cols>
  <sheetData>
    <row r="1" spans="1:4" x14ac:dyDescent="0.35">
      <c r="D1" s="66" t="s">
        <v>241</v>
      </c>
    </row>
    <row r="2" spans="1:4" ht="49.5" customHeight="1" x14ac:dyDescent="0.35">
      <c r="A2" s="124" t="s">
        <v>123</v>
      </c>
      <c r="B2" s="124"/>
      <c r="C2" s="124"/>
      <c r="D2" s="124"/>
    </row>
    <row r="3" spans="1:4" ht="43.5" x14ac:dyDescent="0.35">
      <c r="A3" s="5" t="s">
        <v>2</v>
      </c>
      <c r="B3" s="6" t="s">
        <v>0</v>
      </c>
      <c r="C3" s="6" t="s">
        <v>1</v>
      </c>
      <c r="D3" s="5" t="s">
        <v>24</v>
      </c>
    </row>
    <row r="4" spans="1:4" ht="87" x14ac:dyDescent="0.35">
      <c r="A4" s="5" t="s">
        <v>122</v>
      </c>
      <c r="B4" s="6" t="s">
        <v>293</v>
      </c>
      <c r="C4" s="7">
        <f>1815*2*1.21</f>
        <v>4392.3</v>
      </c>
      <c r="D4" s="5"/>
    </row>
    <row r="5" spans="1:4" ht="159.5" x14ac:dyDescent="0.35">
      <c r="A5" s="48" t="s">
        <v>294</v>
      </c>
      <c r="B5" s="6" t="s">
        <v>295</v>
      </c>
      <c r="C5" s="7">
        <v>163.94</v>
      </c>
      <c r="D5" s="6"/>
    </row>
    <row r="6" spans="1:4" ht="159.5" x14ac:dyDescent="0.35">
      <c r="A6" s="5" t="s">
        <v>294</v>
      </c>
      <c r="B6" s="6" t="s">
        <v>117</v>
      </c>
      <c r="C6" s="7">
        <v>1080.8</v>
      </c>
      <c r="D6" s="6"/>
    </row>
    <row r="7" spans="1:4" x14ac:dyDescent="0.35">
      <c r="A7" s="6" t="s">
        <v>3</v>
      </c>
      <c r="B7" s="6"/>
      <c r="C7" s="8">
        <f>ROUNDUP(SUBTOTAL(109,Table132010[Summa ar PVN]),0)</f>
        <v>5638</v>
      </c>
    </row>
    <row r="9" spans="1:4" ht="87" x14ac:dyDescent="0.35">
      <c r="B9" s="55" t="s">
        <v>236</v>
      </c>
      <c r="C9" s="2">
        <f>ROUNDUP(C5+C6,0)</f>
        <v>1245</v>
      </c>
    </row>
    <row r="10" spans="1:4" ht="58" x14ac:dyDescent="0.35">
      <c r="B10" s="55" t="s">
        <v>235</v>
      </c>
      <c r="C10" s="2">
        <f>ROUNDUP(C4,0)</f>
        <v>4393</v>
      </c>
    </row>
  </sheetData>
  <mergeCells count="1">
    <mergeCell ref="A2:D2"/>
  </mergeCells>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B33AB4-82C7-4137-9848-D4DAA11B978C}">
  <sheetPr>
    <tabColor rgb="FF92D050"/>
  </sheetPr>
  <dimension ref="A1:I13"/>
  <sheetViews>
    <sheetView topLeftCell="A7" workbookViewId="0">
      <selection activeCell="L4" sqref="L4"/>
    </sheetView>
  </sheetViews>
  <sheetFormatPr defaultRowHeight="14.5" x14ac:dyDescent="0.35"/>
  <cols>
    <col min="1" max="1" width="35.453125" customWidth="1"/>
    <col min="2" max="2" width="15.453125" customWidth="1"/>
    <col min="3" max="3" width="18.1796875" customWidth="1"/>
    <col min="4" max="4" width="25" customWidth="1"/>
    <col min="6" max="6" width="24.26953125" customWidth="1"/>
    <col min="7" max="7" width="20.1796875" customWidth="1"/>
    <col min="8" max="8" width="21.7265625" customWidth="1"/>
    <col min="9" max="9" width="25.453125" customWidth="1"/>
  </cols>
  <sheetData>
    <row r="1" spans="1:9" x14ac:dyDescent="0.35">
      <c r="I1" s="66" t="s">
        <v>242</v>
      </c>
    </row>
    <row r="2" spans="1:9" x14ac:dyDescent="0.35">
      <c r="I2" s="66"/>
    </row>
    <row r="3" spans="1:9" ht="44.15" customHeight="1" x14ac:dyDescent="0.35">
      <c r="A3" s="5" t="s">
        <v>46</v>
      </c>
      <c r="B3" s="6" t="s">
        <v>0</v>
      </c>
      <c r="C3" s="6" t="s">
        <v>1</v>
      </c>
      <c r="D3" s="5" t="s">
        <v>24</v>
      </c>
      <c r="F3" s="5" t="s">
        <v>68</v>
      </c>
      <c r="G3" s="6" t="s">
        <v>0</v>
      </c>
      <c r="H3" s="6" t="s">
        <v>1</v>
      </c>
      <c r="I3" s="5" t="s">
        <v>24</v>
      </c>
    </row>
    <row r="4" spans="1:9" ht="43.5" x14ac:dyDescent="0.35">
      <c r="A4" s="5" t="s">
        <v>53</v>
      </c>
      <c r="B4" s="6" t="s">
        <v>229</v>
      </c>
      <c r="C4" s="7">
        <v>270.01</v>
      </c>
      <c r="D4" s="10" t="s">
        <v>54</v>
      </c>
      <c r="F4" s="5" t="s">
        <v>60</v>
      </c>
      <c r="G4" s="6" t="s">
        <v>114</v>
      </c>
      <c r="H4" s="7">
        <v>11833.8</v>
      </c>
      <c r="I4" s="10" t="s">
        <v>61</v>
      </c>
    </row>
    <row r="5" spans="1:9" ht="130.5" x14ac:dyDescent="0.35">
      <c r="A5" s="5" t="s">
        <v>55</v>
      </c>
      <c r="B5" s="6" t="s">
        <v>230</v>
      </c>
      <c r="C5" s="7">
        <v>7210.86</v>
      </c>
      <c r="D5" s="6" t="s">
        <v>56</v>
      </c>
      <c r="F5" s="5" t="s">
        <v>63</v>
      </c>
      <c r="G5" s="6" t="s">
        <v>227</v>
      </c>
      <c r="H5" s="7">
        <v>1487.82</v>
      </c>
      <c r="I5" s="6" t="s">
        <v>62</v>
      </c>
    </row>
    <row r="6" spans="1:9" ht="72.5" x14ac:dyDescent="0.35">
      <c r="A6" s="6" t="s">
        <v>3</v>
      </c>
      <c r="B6" s="6"/>
      <c r="C6" s="8">
        <f>SUBTOTAL(109,Table139[Summa ar PVN])</f>
        <v>7480.87</v>
      </c>
      <c r="F6" s="5" t="s">
        <v>64</v>
      </c>
      <c r="G6" s="6" t="s">
        <v>231</v>
      </c>
      <c r="H6" s="7">
        <v>830.52</v>
      </c>
      <c r="I6" s="6" t="s">
        <v>65</v>
      </c>
    </row>
    <row r="7" spans="1:9" ht="145" x14ac:dyDescent="0.35">
      <c r="F7" s="5" t="s">
        <v>67</v>
      </c>
      <c r="G7" s="6" t="s">
        <v>231</v>
      </c>
      <c r="H7" s="7">
        <v>4408.54</v>
      </c>
      <c r="I7" s="5" t="s">
        <v>66</v>
      </c>
    </row>
    <row r="8" spans="1:9" x14ac:dyDescent="0.35">
      <c r="A8" s="47" t="s">
        <v>57</v>
      </c>
      <c r="B8" s="31"/>
      <c r="C8" s="31"/>
      <c r="D8" s="31"/>
      <c r="F8" s="6" t="s">
        <v>3</v>
      </c>
      <c r="G8" s="6"/>
      <c r="H8" s="8">
        <f>SUBTOTAL(109,Table13911[Summa ar PVN])</f>
        <v>18560.68</v>
      </c>
    </row>
    <row r="9" spans="1:9" ht="131" thickBot="1" x14ac:dyDescent="0.4">
      <c r="A9" s="32" t="s">
        <v>58</v>
      </c>
      <c r="B9" s="33" t="s">
        <v>231</v>
      </c>
      <c r="C9" s="34">
        <v>3393.82</v>
      </c>
      <c r="D9" s="35" t="s">
        <v>59</v>
      </c>
    </row>
    <row r="10" spans="1:9" ht="15" thickTop="1" x14ac:dyDescent="0.35">
      <c r="A10" s="20" t="s">
        <v>3</v>
      </c>
      <c r="C10" s="36">
        <f>C9</f>
        <v>3393.82</v>
      </c>
    </row>
    <row r="12" spans="1:9" ht="29" x14ac:dyDescent="0.35">
      <c r="A12" s="55" t="s">
        <v>236</v>
      </c>
      <c r="C12" s="36">
        <f>ROUNDUP(Table139[[#Totals],[Summa ar PVN]]+Table13911[[#Totals],[Summa ar PVN]]+C10,0)</f>
        <v>29436</v>
      </c>
    </row>
    <row r="13" spans="1:9" x14ac:dyDescent="0.35">
      <c r="A13" s="55"/>
    </row>
  </sheetData>
  <pageMargins left="0.7" right="0.7" top="0.75" bottom="0.75" header="0.3" footer="0.3"/>
  <tableParts count="2">
    <tablePart r:id="rId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48EA3B-2425-43B1-94A8-11B93797A26C}">
  <sheetPr>
    <tabColor rgb="FF92D050"/>
  </sheetPr>
  <dimension ref="A1:J21"/>
  <sheetViews>
    <sheetView workbookViewId="0">
      <selection activeCell="M5" sqref="M5"/>
    </sheetView>
  </sheetViews>
  <sheetFormatPr defaultRowHeight="14.5" x14ac:dyDescent="0.35"/>
  <cols>
    <col min="1" max="1" width="41.54296875" customWidth="1"/>
    <col min="2" max="2" width="19.54296875" customWidth="1"/>
    <col min="3" max="3" width="14.453125" customWidth="1"/>
    <col min="4" max="4" width="16.81640625" customWidth="1"/>
    <col min="7" max="7" width="29.54296875" customWidth="1"/>
    <col min="8" max="8" width="10.453125" customWidth="1"/>
    <col min="9" max="9" width="15.54296875" customWidth="1"/>
    <col min="10" max="10" width="27.453125" customWidth="1"/>
  </cols>
  <sheetData>
    <row r="1" spans="1:10" x14ac:dyDescent="0.35">
      <c r="J1" s="66" t="s">
        <v>243</v>
      </c>
    </row>
    <row r="2" spans="1:10" x14ac:dyDescent="0.35">
      <c r="J2" s="66"/>
    </row>
    <row r="3" spans="1:10" ht="51.65" customHeight="1" x14ac:dyDescent="0.35">
      <c r="A3" s="5" t="s">
        <v>46</v>
      </c>
      <c r="B3" s="6" t="s">
        <v>0</v>
      </c>
      <c r="C3" s="6" t="s">
        <v>1</v>
      </c>
      <c r="D3" s="5" t="s">
        <v>24</v>
      </c>
      <c r="G3" s="5" t="s">
        <v>47</v>
      </c>
      <c r="H3" s="6" t="s">
        <v>0</v>
      </c>
      <c r="I3" s="6" t="s">
        <v>1</v>
      </c>
      <c r="J3" s="5" t="s">
        <v>24</v>
      </c>
    </row>
    <row r="4" spans="1:10" x14ac:dyDescent="0.35">
      <c r="A4" s="11"/>
      <c r="B4" s="76"/>
      <c r="C4" s="77"/>
      <c r="D4" s="11"/>
      <c r="G4" s="5" t="s">
        <v>33</v>
      </c>
      <c r="H4" s="6" t="s">
        <v>223</v>
      </c>
      <c r="I4" s="7">
        <v>120.76000000000002</v>
      </c>
      <c r="J4" s="5"/>
    </row>
    <row r="5" spans="1:10" ht="87" x14ac:dyDescent="0.35">
      <c r="A5" s="5" t="s">
        <v>25</v>
      </c>
      <c r="B5" s="6" t="s">
        <v>28</v>
      </c>
      <c r="C5" s="7">
        <v>8586.64</v>
      </c>
      <c r="D5" s="6"/>
      <c r="G5" s="9" t="s">
        <v>34</v>
      </c>
      <c r="H5" s="6" t="s">
        <v>223</v>
      </c>
      <c r="I5" s="7">
        <v>200.87</v>
      </c>
      <c r="J5" s="6"/>
    </row>
    <row r="6" spans="1:10" ht="87" x14ac:dyDescent="0.35">
      <c r="A6" s="5" t="s">
        <v>26</v>
      </c>
      <c r="B6" s="6" t="s">
        <v>29</v>
      </c>
      <c r="C6" s="7">
        <v>3905.33</v>
      </c>
      <c r="D6" s="6"/>
      <c r="G6" s="5" t="s">
        <v>35</v>
      </c>
      <c r="H6" s="6" t="s">
        <v>223</v>
      </c>
      <c r="I6" s="7">
        <v>160.93</v>
      </c>
      <c r="J6" s="6"/>
    </row>
    <row r="7" spans="1:10" ht="87" x14ac:dyDescent="0.35">
      <c r="A7" s="5" t="s">
        <v>27</v>
      </c>
      <c r="B7" s="6" t="s">
        <v>30</v>
      </c>
      <c r="C7" s="7">
        <v>4286.92</v>
      </c>
      <c r="D7" s="6"/>
      <c r="G7" s="5" t="s">
        <v>36</v>
      </c>
      <c r="H7" s="6" t="s">
        <v>223</v>
      </c>
      <c r="I7" s="7">
        <v>450</v>
      </c>
      <c r="J7" s="6"/>
    </row>
    <row r="8" spans="1:10" ht="66" customHeight="1" x14ac:dyDescent="0.35">
      <c r="A8" s="5" t="s">
        <v>32</v>
      </c>
      <c r="B8" s="6" t="s">
        <v>31</v>
      </c>
      <c r="C8" s="7">
        <v>3290.18</v>
      </c>
      <c r="D8" s="6"/>
      <c r="G8" s="5" t="s">
        <v>37</v>
      </c>
      <c r="H8" s="6" t="s">
        <v>223</v>
      </c>
      <c r="I8" s="7">
        <v>1932</v>
      </c>
      <c r="J8" s="6"/>
    </row>
    <row r="9" spans="1:10" x14ac:dyDescent="0.35">
      <c r="A9" s="5"/>
      <c r="B9" s="6"/>
      <c r="C9" s="7"/>
      <c r="D9" s="6"/>
      <c r="G9" s="5" t="s">
        <v>38</v>
      </c>
      <c r="H9" s="6" t="s">
        <v>223</v>
      </c>
      <c r="I9" s="7">
        <v>694</v>
      </c>
      <c r="J9" s="6"/>
    </row>
    <row r="10" spans="1:10" x14ac:dyDescent="0.35">
      <c r="A10" s="6"/>
      <c r="B10" s="6"/>
      <c r="C10" s="7"/>
      <c r="D10" s="6"/>
      <c r="G10" s="5" t="s">
        <v>34</v>
      </c>
      <c r="H10" s="6" t="s">
        <v>223</v>
      </c>
      <c r="I10" s="7">
        <v>51.19</v>
      </c>
      <c r="J10" s="6"/>
    </row>
    <row r="11" spans="1:10" x14ac:dyDescent="0.35">
      <c r="A11" s="6" t="s">
        <v>3</v>
      </c>
      <c r="B11" s="6"/>
      <c r="C11" s="8">
        <f>ROUNDUP(SUBTOTAL(109,Table13[Summa ar PVN]),0)</f>
        <v>20070</v>
      </c>
      <c r="G11" s="5" t="s">
        <v>40</v>
      </c>
      <c r="H11" s="6" t="s">
        <v>223</v>
      </c>
      <c r="I11" s="7">
        <v>76.510000000000005</v>
      </c>
      <c r="J11" s="6"/>
    </row>
    <row r="12" spans="1:10" x14ac:dyDescent="0.35">
      <c r="G12" s="5" t="s">
        <v>41</v>
      </c>
      <c r="H12" s="6" t="s">
        <v>223</v>
      </c>
      <c r="I12" s="7">
        <v>55.76</v>
      </c>
      <c r="J12" s="6"/>
    </row>
    <row r="13" spans="1:10" x14ac:dyDescent="0.35">
      <c r="G13" s="5" t="s">
        <v>42</v>
      </c>
      <c r="H13" s="6" t="s">
        <v>223</v>
      </c>
      <c r="I13" s="7">
        <v>20.399999999999999</v>
      </c>
      <c r="J13" s="6"/>
    </row>
    <row r="14" spans="1:10" x14ac:dyDescent="0.35">
      <c r="G14" s="5" t="s">
        <v>43</v>
      </c>
      <c r="H14" s="6" t="s">
        <v>223</v>
      </c>
      <c r="I14" s="7">
        <v>5646.91</v>
      </c>
      <c r="J14" s="6"/>
    </row>
    <row r="15" spans="1:10" x14ac:dyDescent="0.35">
      <c r="G15" s="5" t="s">
        <v>44</v>
      </c>
      <c r="H15" s="6" t="s">
        <v>223</v>
      </c>
      <c r="I15" s="7">
        <v>144.75</v>
      </c>
      <c r="J15" s="6"/>
    </row>
    <row r="16" spans="1:10" x14ac:dyDescent="0.35">
      <c r="G16" s="5" t="s">
        <v>39</v>
      </c>
      <c r="H16" s="6" t="s">
        <v>223</v>
      </c>
      <c r="I16" s="7">
        <v>60.099999999999994</v>
      </c>
      <c r="J16" s="6"/>
    </row>
    <row r="17" spans="1:9" x14ac:dyDescent="0.35">
      <c r="G17" s="6" t="s">
        <v>3</v>
      </c>
      <c r="H17" s="6"/>
      <c r="I17" s="8">
        <f>ROUNDUP(SUBTOTAL(109,Table135[Summa ar PVN]),0)</f>
        <v>9615</v>
      </c>
    </row>
    <row r="18" spans="1:9" x14ac:dyDescent="0.35">
      <c r="A18" s="125" t="s">
        <v>48</v>
      </c>
      <c r="B18" s="125"/>
      <c r="C18" s="125"/>
      <c r="D18" s="125"/>
    </row>
    <row r="19" spans="1:9" ht="40.5" customHeight="1" x14ac:dyDescent="0.35">
      <c r="A19" s="125"/>
      <c r="B19" s="125"/>
      <c r="C19" s="125"/>
      <c r="D19" s="125"/>
    </row>
    <row r="20" spans="1:9" ht="43.5" x14ac:dyDescent="0.35">
      <c r="G20" s="55" t="s">
        <v>236</v>
      </c>
      <c r="I20" s="2">
        <f>Table13[[#Totals],[Summa ar PVN]]+Table135[[#Totals],[Summa ar PVN]]</f>
        <v>29685</v>
      </c>
    </row>
    <row r="21" spans="1:9" x14ac:dyDescent="0.35">
      <c r="G21" s="55"/>
      <c r="I21" s="2"/>
    </row>
  </sheetData>
  <mergeCells count="1">
    <mergeCell ref="A18:D19"/>
  </mergeCells>
  <pageMargins left="0.7" right="0.7" top="0.75" bottom="0.75" header="0.3" footer="0.3"/>
  <pageSetup orientation="portrait" horizontalDpi="90" verticalDpi="90" r:id="rId1"/>
  <tableParts count="2">
    <tablePart r:id="rId2"/>
    <tablePart r:id="rId3"/>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03971D-6A1A-46B6-892A-FEE62DB10FEA}">
  <sheetPr>
    <tabColor rgb="FF92D050"/>
  </sheetPr>
  <dimension ref="A1:D12"/>
  <sheetViews>
    <sheetView zoomScale="90" zoomScaleNormal="90" workbookViewId="0">
      <selection activeCell="I9" sqref="I9"/>
    </sheetView>
  </sheetViews>
  <sheetFormatPr defaultRowHeight="14.5" x14ac:dyDescent="0.35"/>
  <cols>
    <col min="1" max="1" width="37.453125" customWidth="1"/>
    <col min="2" max="2" width="12.1796875" customWidth="1"/>
    <col min="3" max="3" width="12.54296875" customWidth="1"/>
    <col min="4" max="4" width="18.54296875" customWidth="1"/>
  </cols>
  <sheetData>
    <row r="1" spans="1:4" x14ac:dyDescent="0.35">
      <c r="D1" s="66" t="s">
        <v>244</v>
      </c>
    </row>
    <row r="2" spans="1:4" x14ac:dyDescent="0.35">
      <c r="D2" s="66"/>
    </row>
    <row r="3" spans="1:4" ht="36" customHeight="1" x14ac:dyDescent="0.35">
      <c r="A3" s="13" t="s">
        <v>69</v>
      </c>
      <c r="B3" s="14" t="s">
        <v>0</v>
      </c>
      <c r="C3" s="14" t="s">
        <v>1</v>
      </c>
      <c r="D3" s="15" t="s">
        <v>24</v>
      </c>
    </row>
    <row r="4" spans="1:4" ht="58" x14ac:dyDescent="0.35">
      <c r="A4" s="16" t="s">
        <v>111</v>
      </c>
      <c r="B4" s="19" t="s">
        <v>227</v>
      </c>
      <c r="C4" s="18">
        <v>2168.4499999999998</v>
      </c>
      <c r="D4" s="19" t="s">
        <v>112</v>
      </c>
    </row>
    <row r="5" spans="1:4" ht="29" x14ac:dyDescent="0.35">
      <c r="A5" s="52" t="s">
        <v>124</v>
      </c>
      <c r="B5" s="79" t="s">
        <v>303</v>
      </c>
      <c r="C5" s="78">
        <v>23695.43</v>
      </c>
      <c r="D5" s="79"/>
    </row>
    <row r="6" spans="1:4" ht="29" x14ac:dyDescent="0.35">
      <c r="A6" s="28" t="s">
        <v>125</v>
      </c>
      <c r="B6" s="122" t="s">
        <v>303</v>
      </c>
      <c r="C6" s="80">
        <v>7260</v>
      </c>
      <c r="D6" s="81"/>
    </row>
    <row r="7" spans="1:4" ht="29" x14ac:dyDescent="0.35">
      <c r="A7" s="52" t="s">
        <v>126</v>
      </c>
      <c r="B7" s="79" t="s">
        <v>303</v>
      </c>
      <c r="C7" s="78">
        <v>21780</v>
      </c>
      <c r="D7" s="79"/>
    </row>
    <row r="8" spans="1:4" ht="29" x14ac:dyDescent="0.35">
      <c r="A8" s="28" t="s">
        <v>127</v>
      </c>
      <c r="B8" s="122" t="s">
        <v>303</v>
      </c>
      <c r="C8" s="80">
        <v>9680</v>
      </c>
      <c r="D8" s="81"/>
    </row>
    <row r="9" spans="1:4" x14ac:dyDescent="0.35">
      <c r="C9" s="2">
        <f>SUM(C4:C8)</f>
        <v>64583.880000000005</v>
      </c>
    </row>
    <row r="11" spans="1:4" ht="29" x14ac:dyDescent="0.35">
      <c r="A11" s="55" t="s">
        <v>236</v>
      </c>
      <c r="C11" s="2">
        <f>ROUNDUP(C4,0)</f>
        <v>2169</v>
      </c>
    </row>
    <row r="12" spans="1:4" ht="29" x14ac:dyDescent="0.35">
      <c r="A12" s="55" t="s">
        <v>235</v>
      </c>
      <c r="C12" s="2">
        <f>ROUNDUP(C5+C6+C7+C8,0)</f>
        <v>62416</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CF8776-B585-43B7-9499-14F82B9BA469}">
  <sheetPr>
    <tabColor rgb="FF92D050"/>
  </sheetPr>
  <dimension ref="A1:D17"/>
  <sheetViews>
    <sheetView workbookViewId="0">
      <selection activeCell="I6" sqref="I6"/>
    </sheetView>
  </sheetViews>
  <sheetFormatPr defaultRowHeight="14.5" x14ac:dyDescent="0.35"/>
  <cols>
    <col min="1" max="1" width="37.1796875" customWidth="1"/>
    <col min="2" max="2" width="21.7265625" customWidth="1"/>
    <col min="3" max="3" width="13.54296875" customWidth="1"/>
    <col min="4" max="4" width="23.54296875" customWidth="1"/>
  </cols>
  <sheetData>
    <row r="1" spans="1:4" x14ac:dyDescent="0.35">
      <c r="D1" s="66" t="s">
        <v>245</v>
      </c>
    </row>
    <row r="2" spans="1:4" x14ac:dyDescent="0.35">
      <c r="D2" s="66"/>
    </row>
    <row r="3" spans="1:4" ht="29" x14ac:dyDescent="0.35">
      <c r="A3" s="13" t="s">
        <v>69</v>
      </c>
      <c r="B3" s="14" t="s">
        <v>0</v>
      </c>
      <c r="C3" s="14" t="s">
        <v>1</v>
      </c>
      <c r="D3" s="15" t="s">
        <v>24</v>
      </c>
    </row>
    <row r="4" spans="1:4" ht="43.5" x14ac:dyDescent="0.35">
      <c r="A4" s="16" t="s">
        <v>216</v>
      </c>
      <c r="B4" s="17" t="s">
        <v>215</v>
      </c>
      <c r="C4" s="53">
        <v>11481.12</v>
      </c>
      <c r="D4" s="17" t="s">
        <v>214</v>
      </c>
    </row>
    <row r="5" spans="1:4" x14ac:dyDescent="0.35">
      <c r="A5" s="49"/>
      <c r="B5" s="50"/>
      <c r="C5" s="51">
        <f>SUM(C4)</f>
        <v>11481.12</v>
      </c>
      <c r="D5" s="40"/>
    </row>
    <row r="6" spans="1:4" x14ac:dyDescent="0.35">
      <c r="A6" s="49"/>
      <c r="B6" s="50"/>
      <c r="C6" s="51"/>
      <c r="D6" s="40"/>
    </row>
    <row r="7" spans="1:4" ht="29" x14ac:dyDescent="0.35">
      <c r="A7" s="55" t="s">
        <v>236</v>
      </c>
      <c r="B7" s="67"/>
      <c r="C7" s="68">
        <f>ROUNDUP(C4,0)</f>
        <v>11482</v>
      </c>
      <c r="D7" s="69"/>
    </row>
    <row r="8" spans="1:4" s="73" customFormat="1" x14ac:dyDescent="0.35">
      <c r="A8" s="55"/>
      <c r="B8" s="71"/>
      <c r="C8" s="72"/>
      <c r="D8" s="70"/>
    </row>
    <row r="9" spans="1:4" s="73" customFormat="1" x14ac:dyDescent="0.35">
      <c r="A9" s="74"/>
      <c r="B9" s="75"/>
      <c r="C9" s="75"/>
      <c r="D9" s="74"/>
    </row>
    <row r="10" spans="1:4" s="73" customFormat="1" x14ac:dyDescent="0.35">
      <c r="A10" s="70"/>
      <c r="B10" s="71"/>
      <c r="C10" s="72"/>
      <c r="D10" s="70"/>
    </row>
    <row r="11" spans="1:4" s="73" customFormat="1" x14ac:dyDescent="0.35">
      <c r="A11" s="70"/>
      <c r="B11" s="71"/>
      <c r="C11" s="72"/>
      <c r="D11" s="70"/>
    </row>
    <row r="12" spans="1:4" s="73" customFormat="1" x14ac:dyDescent="0.35">
      <c r="A12" s="70"/>
      <c r="B12" s="71"/>
      <c r="C12" s="72"/>
      <c r="D12" s="70"/>
    </row>
    <row r="13" spans="1:4" s="73" customFormat="1" x14ac:dyDescent="0.35">
      <c r="A13" s="70"/>
      <c r="B13" s="71"/>
      <c r="C13" s="72"/>
      <c r="D13" s="70"/>
    </row>
    <row r="14" spans="1:4" s="73" customFormat="1" x14ac:dyDescent="0.35">
      <c r="A14" s="70"/>
      <c r="B14" s="71"/>
      <c r="C14" s="72"/>
      <c r="D14" s="70"/>
    </row>
    <row r="15" spans="1:4" s="73" customFormat="1" x14ac:dyDescent="0.35"/>
    <row r="16" spans="1:4" s="73" customFormat="1" x14ac:dyDescent="0.35"/>
    <row r="17" s="73" customFormat="1" x14ac:dyDescent="0.3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F546C3-3109-46AE-A745-4CE11FE1C25F}">
  <sheetPr>
    <tabColor rgb="FF92D050"/>
  </sheetPr>
  <dimension ref="A1:F9"/>
  <sheetViews>
    <sheetView workbookViewId="0">
      <selection activeCell="K8" sqref="K8"/>
    </sheetView>
  </sheetViews>
  <sheetFormatPr defaultRowHeight="14.5" x14ac:dyDescent="0.35"/>
  <cols>
    <col min="1" max="1" width="40.54296875" customWidth="1"/>
    <col min="2" max="2" width="15.26953125" customWidth="1"/>
    <col min="3" max="3" width="16.54296875" customWidth="1"/>
    <col min="4" max="4" width="25.1796875" customWidth="1"/>
  </cols>
  <sheetData>
    <row r="1" spans="1:6" x14ac:dyDescent="0.35">
      <c r="D1" s="66" t="s">
        <v>246</v>
      </c>
    </row>
    <row r="2" spans="1:6" x14ac:dyDescent="0.35">
      <c r="D2" s="66"/>
    </row>
    <row r="3" spans="1:6" ht="46.5" customHeight="1" x14ac:dyDescent="0.35">
      <c r="A3" s="13" t="s">
        <v>69</v>
      </c>
      <c r="B3" s="14" t="s">
        <v>0</v>
      </c>
      <c r="C3" s="14" t="s">
        <v>1</v>
      </c>
      <c r="D3" s="15" t="s">
        <v>24</v>
      </c>
    </row>
    <row r="4" spans="1:6" ht="58" x14ac:dyDescent="0.35">
      <c r="A4" s="95" t="s">
        <v>95</v>
      </c>
      <c r="B4" s="96" t="s">
        <v>291</v>
      </c>
      <c r="C4" s="97">
        <v>9976.3700000000008</v>
      </c>
      <c r="D4" s="98">
        <v>6721815699</v>
      </c>
    </row>
    <row r="5" spans="1:6" ht="29.5" thickBot="1" x14ac:dyDescent="0.4">
      <c r="A5" s="26" t="s">
        <v>119</v>
      </c>
      <c r="B5" s="99" t="s">
        <v>292</v>
      </c>
      <c r="C5" s="100">
        <v>1498.34</v>
      </c>
      <c r="D5" s="99">
        <v>6721895568</v>
      </c>
    </row>
    <row r="6" spans="1:6" ht="15" thickTop="1" x14ac:dyDescent="0.35">
      <c r="A6" s="20" t="s">
        <v>3</v>
      </c>
      <c r="B6" s="21"/>
      <c r="C6" s="22">
        <f>C4+C5</f>
        <v>11474.710000000001</v>
      </c>
      <c r="D6" s="4"/>
    </row>
    <row r="8" spans="1:6" ht="29" x14ac:dyDescent="0.35">
      <c r="A8" s="55" t="s">
        <v>236</v>
      </c>
      <c r="B8" s="12"/>
      <c r="C8" s="83">
        <f>ROUNDUP(C4+C5,0)</f>
        <v>11475</v>
      </c>
      <c r="D8" s="12"/>
      <c r="E8" s="12"/>
      <c r="F8" s="12"/>
    </row>
    <row r="9" spans="1:6" x14ac:dyDescent="0.35">
      <c r="A9" s="55"/>
      <c r="B9" s="25"/>
      <c r="C9" s="25"/>
      <c r="D9" s="25"/>
      <c r="E9" s="25"/>
      <c r="F9" s="25"/>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B7D94D-727F-4B65-87FD-922FF472549A}">
  <sheetPr>
    <tabColor rgb="FF92D050"/>
  </sheetPr>
  <dimension ref="A1:D8"/>
  <sheetViews>
    <sheetView workbookViewId="0">
      <selection activeCell="F8" sqref="F8"/>
    </sheetView>
  </sheetViews>
  <sheetFormatPr defaultRowHeight="14.5" x14ac:dyDescent="0.35"/>
  <cols>
    <col min="1" max="1" width="46.1796875" customWidth="1"/>
    <col min="2" max="2" width="9.81640625" customWidth="1"/>
    <col min="3" max="3" width="17.1796875" customWidth="1"/>
    <col min="4" max="4" width="18.81640625" customWidth="1"/>
  </cols>
  <sheetData>
    <row r="1" spans="1:4" x14ac:dyDescent="0.35">
      <c r="D1" s="66" t="s">
        <v>247</v>
      </c>
    </row>
    <row r="2" spans="1:4" x14ac:dyDescent="0.35">
      <c r="D2" s="66"/>
    </row>
    <row r="3" spans="1:4" ht="29" x14ac:dyDescent="0.35">
      <c r="A3" s="13" t="s">
        <v>69</v>
      </c>
      <c r="B3" s="14" t="s">
        <v>0</v>
      </c>
      <c r="C3" s="14" t="s">
        <v>1</v>
      </c>
      <c r="D3" s="15" t="s">
        <v>24</v>
      </c>
    </row>
    <row r="4" spans="1:4" ht="29.5" thickBot="1" x14ac:dyDescent="0.4">
      <c r="A4" s="16" t="s">
        <v>100</v>
      </c>
      <c r="B4" s="17" t="s">
        <v>257</v>
      </c>
      <c r="C4" s="18">
        <v>1783.81</v>
      </c>
      <c r="D4" s="19" t="s">
        <v>101</v>
      </c>
    </row>
    <row r="5" spans="1:4" ht="15" thickTop="1" x14ac:dyDescent="0.35">
      <c r="A5" s="20" t="s">
        <v>3</v>
      </c>
      <c r="B5" s="21"/>
      <c r="C5" s="39">
        <v>1783.81</v>
      </c>
      <c r="D5" s="4"/>
    </row>
    <row r="7" spans="1:4" ht="29" x14ac:dyDescent="0.35">
      <c r="A7" s="55" t="s">
        <v>236</v>
      </c>
      <c r="C7" s="2">
        <f>ROUNDUP(C4,0)</f>
        <v>1784</v>
      </c>
    </row>
    <row r="8" spans="1:4" x14ac:dyDescent="0.35">
      <c r="A8" s="55"/>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6B5276-9CEF-46F2-AAF4-F23E90A4FE81}">
  <sheetPr>
    <tabColor rgb="FF92D050"/>
  </sheetPr>
  <dimension ref="A1:D12"/>
  <sheetViews>
    <sheetView workbookViewId="0">
      <selection activeCell="L8" sqref="L8"/>
    </sheetView>
  </sheetViews>
  <sheetFormatPr defaultRowHeight="14.5" x14ac:dyDescent="0.35"/>
  <cols>
    <col min="1" max="1" width="37.81640625" customWidth="1"/>
    <col min="2" max="2" width="10.26953125" customWidth="1"/>
    <col min="3" max="3" width="14" customWidth="1"/>
    <col min="4" max="4" width="18.81640625" customWidth="1"/>
  </cols>
  <sheetData>
    <row r="1" spans="1:4" x14ac:dyDescent="0.35">
      <c r="D1" s="66" t="s">
        <v>248</v>
      </c>
    </row>
    <row r="2" spans="1:4" x14ac:dyDescent="0.35">
      <c r="D2" s="66"/>
    </row>
    <row r="3" spans="1:4" ht="29" x14ac:dyDescent="0.35">
      <c r="A3" s="13" t="s">
        <v>69</v>
      </c>
      <c r="B3" s="14" t="s">
        <v>0</v>
      </c>
      <c r="C3" s="14" t="s">
        <v>1</v>
      </c>
      <c r="D3" s="15" t="s">
        <v>24</v>
      </c>
    </row>
    <row r="4" spans="1:4" ht="29" x14ac:dyDescent="0.35">
      <c r="A4" s="16" t="s">
        <v>102</v>
      </c>
      <c r="B4" s="17" t="s">
        <v>228</v>
      </c>
      <c r="C4" s="18">
        <v>2168.4499999999998</v>
      </c>
      <c r="D4" s="19" t="s">
        <v>105</v>
      </c>
    </row>
    <row r="5" spans="1:4" ht="43.5" x14ac:dyDescent="0.35">
      <c r="A5" s="26" t="s">
        <v>103</v>
      </c>
      <c r="B5" s="23" t="s">
        <v>223</v>
      </c>
      <c r="C5" s="24">
        <v>6149.4</v>
      </c>
      <c r="D5" s="23" t="s">
        <v>104</v>
      </c>
    </row>
    <row r="6" spans="1:4" ht="29" x14ac:dyDescent="0.35">
      <c r="A6" s="28" t="s">
        <v>219</v>
      </c>
      <c r="B6" s="17" t="s">
        <v>217</v>
      </c>
      <c r="C6" s="111">
        <v>4699.9399999999996</v>
      </c>
      <c r="D6" s="112" t="s">
        <v>218</v>
      </c>
    </row>
    <row r="7" spans="1:4" x14ac:dyDescent="0.35">
      <c r="A7" s="109" t="s">
        <v>296</v>
      </c>
      <c r="B7" s="23" t="s">
        <v>297</v>
      </c>
      <c r="C7" s="72">
        <v>4819.68</v>
      </c>
      <c r="D7" s="70" t="s">
        <v>298</v>
      </c>
    </row>
    <row r="8" spans="1:4" ht="29.5" thickBot="1" x14ac:dyDescent="0.4">
      <c r="A8" s="106" t="s">
        <v>219</v>
      </c>
      <c r="B8" s="107" t="s">
        <v>220</v>
      </c>
      <c r="C8" s="105">
        <v>5540.42</v>
      </c>
      <c r="D8" s="108" t="s">
        <v>221</v>
      </c>
    </row>
    <row r="9" spans="1:4" ht="15" thickTop="1" x14ac:dyDescent="0.35">
      <c r="A9" s="20" t="s">
        <v>3</v>
      </c>
      <c r="B9" s="21"/>
      <c r="C9" s="22">
        <f>C4+C5+C6+C8+C7</f>
        <v>23377.89</v>
      </c>
      <c r="D9" s="4"/>
    </row>
    <row r="11" spans="1:4" ht="29" x14ac:dyDescent="0.35">
      <c r="A11" s="55" t="s">
        <v>236</v>
      </c>
      <c r="C11" s="2">
        <f>ROUNDUP(C4+C5+C6+C8+C7,0)</f>
        <v>23378</v>
      </c>
    </row>
    <row r="12" spans="1:4" x14ac:dyDescent="0.35">
      <c r="A12" s="55"/>
    </row>
  </sheetData>
  <pageMargins left="0.7" right="0.7" top="0.75" bottom="0.75" header="0.3" footer="0.3"/>
  <pageSetup paperSize="9" orientation="portrait" horizontalDpi="90" verticalDpi="9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F7ACF2-41BC-4403-9B57-DFD59A8B14D9}">
  <sheetPr>
    <tabColor rgb="FF92D050"/>
  </sheetPr>
  <dimension ref="A1:D12"/>
  <sheetViews>
    <sheetView workbookViewId="0">
      <selection activeCell="L7" sqref="L7"/>
    </sheetView>
  </sheetViews>
  <sheetFormatPr defaultRowHeight="14.5" x14ac:dyDescent="0.35"/>
  <cols>
    <col min="1" max="1" width="38.453125" customWidth="1"/>
    <col min="2" max="2" width="14.81640625" customWidth="1"/>
    <col min="3" max="3" width="18.1796875" customWidth="1"/>
    <col min="4" max="4" width="20.81640625" customWidth="1"/>
  </cols>
  <sheetData>
    <row r="1" spans="1:4" x14ac:dyDescent="0.35">
      <c r="D1" s="66" t="s">
        <v>249</v>
      </c>
    </row>
    <row r="2" spans="1:4" x14ac:dyDescent="0.35">
      <c r="D2" s="66"/>
    </row>
    <row r="3" spans="1:4" ht="29" x14ac:dyDescent="0.35">
      <c r="A3" s="5" t="s">
        <v>69</v>
      </c>
      <c r="B3" s="6" t="s">
        <v>0</v>
      </c>
      <c r="C3" s="6" t="s">
        <v>1</v>
      </c>
      <c r="D3" s="5" t="s">
        <v>24</v>
      </c>
    </row>
    <row r="4" spans="1:4" x14ac:dyDescent="0.35">
      <c r="A4" s="5" t="s">
        <v>96</v>
      </c>
      <c r="B4" s="6" t="s">
        <v>231</v>
      </c>
      <c r="C4" s="7">
        <v>554.94000000000005</v>
      </c>
      <c r="D4" s="5" t="s">
        <v>110</v>
      </c>
    </row>
    <row r="5" spans="1:4" ht="58" x14ac:dyDescent="0.35">
      <c r="A5" s="5" t="s">
        <v>97</v>
      </c>
      <c r="B5" s="6" t="s">
        <v>256</v>
      </c>
      <c r="C5" s="7">
        <v>6492.99</v>
      </c>
      <c r="D5" s="5" t="s">
        <v>109</v>
      </c>
    </row>
    <row r="6" spans="1:4" ht="29" x14ac:dyDescent="0.35">
      <c r="A6" s="5" t="s">
        <v>98</v>
      </c>
      <c r="B6" s="6" t="s">
        <v>232</v>
      </c>
      <c r="C6" s="7">
        <v>2746.52</v>
      </c>
      <c r="D6" s="6" t="s">
        <v>108</v>
      </c>
    </row>
    <row r="7" spans="1:4" ht="43.5" x14ac:dyDescent="0.35">
      <c r="A7" s="5" t="s">
        <v>99</v>
      </c>
      <c r="B7" s="6" t="s">
        <v>231</v>
      </c>
      <c r="C7" s="7">
        <v>931.7</v>
      </c>
      <c r="D7" s="6" t="s">
        <v>107</v>
      </c>
    </row>
    <row r="8" spans="1:4" ht="43.5" x14ac:dyDescent="0.35">
      <c r="A8" s="5" t="s">
        <v>120</v>
      </c>
      <c r="B8" s="6" t="s">
        <v>231</v>
      </c>
      <c r="C8" s="7">
        <v>1100</v>
      </c>
      <c r="D8" s="6"/>
    </row>
    <row r="9" spans="1:4" x14ac:dyDescent="0.35">
      <c r="A9" s="6" t="s">
        <v>3</v>
      </c>
      <c r="B9" s="6"/>
      <c r="C9" s="8">
        <f>SUBTOTAL(109,Table1318[Summa ar PVN])</f>
        <v>11826.150000000001</v>
      </c>
    </row>
    <row r="11" spans="1:4" ht="29" x14ac:dyDescent="0.35">
      <c r="A11" s="55" t="s">
        <v>236</v>
      </c>
      <c r="C11" s="2">
        <f>ROUNDUP(C4+C5+C6+C7+C8,0)</f>
        <v>11827</v>
      </c>
    </row>
    <row r="12" spans="1:4" x14ac:dyDescent="0.35">
      <c r="A12" s="55"/>
    </row>
  </sheetData>
  <pageMargins left="0.7" right="0.7" top="0.75" bottom="0.75" header="0.3" footer="0.3"/>
  <tableParts count="1">
    <tablePart r:id="rId1"/>
  </tablePart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99ABCC-3803-4A1E-B412-9BAEE131FC0B}">
  <sheetPr>
    <tabColor rgb="FF92D050"/>
  </sheetPr>
  <dimension ref="A1:D8"/>
  <sheetViews>
    <sheetView workbookViewId="0">
      <selection activeCell="I7" sqref="I7"/>
    </sheetView>
  </sheetViews>
  <sheetFormatPr defaultRowHeight="14.5" x14ac:dyDescent="0.35"/>
  <cols>
    <col min="1" max="1" width="45.1796875" customWidth="1"/>
    <col min="2" max="2" width="14" customWidth="1"/>
    <col min="3" max="3" width="13" customWidth="1"/>
    <col min="4" max="4" width="23.26953125" customWidth="1"/>
  </cols>
  <sheetData>
    <row r="1" spans="1:4" x14ac:dyDescent="0.35">
      <c r="D1" s="66" t="s">
        <v>250</v>
      </c>
    </row>
    <row r="2" spans="1:4" x14ac:dyDescent="0.35">
      <c r="D2" s="66"/>
    </row>
    <row r="3" spans="1:4" ht="46.5" customHeight="1" x14ac:dyDescent="0.35">
      <c r="A3" s="13" t="s">
        <v>69</v>
      </c>
      <c r="B3" s="14" t="s">
        <v>0</v>
      </c>
      <c r="C3" s="14" t="s">
        <v>222</v>
      </c>
      <c r="D3" s="15" t="s">
        <v>24</v>
      </c>
    </row>
    <row r="4" spans="1:4" ht="29.5" thickBot="1" x14ac:dyDescent="0.4">
      <c r="A4" s="46" t="s">
        <v>121</v>
      </c>
      <c r="B4" s="23" t="s">
        <v>260</v>
      </c>
      <c r="C4" s="24">
        <f>4530.2*1.21</f>
        <v>5481.5419999999995</v>
      </c>
      <c r="D4" s="40" t="s">
        <v>106</v>
      </c>
    </row>
    <row r="5" spans="1:4" ht="15" thickTop="1" x14ac:dyDescent="0.35">
      <c r="A5" s="20" t="s">
        <v>3</v>
      </c>
      <c r="B5" s="21"/>
      <c r="C5" s="22">
        <f>ROUNDUP(C4,0)</f>
        <v>5482</v>
      </c>
      <c r="D5" s="4"/>
    </row>
    <row r="7" spans="1:4" ht="29" x14ac:dyDescent="0.35">
      <c r="A7" s="55" t="s">
        <v>236</v>
      </c>
      <c r="C7" s="2">
        <f>C5</f>
        <v>5482</v>
      </c>
    </row>
    <row r="8" spans="1:4" x14ac:dyDescent="0.35">
      <c r="A8" s="55"/>
      <c r="C8" s="2"/>
    </row>
  </sheetData>
  <pageMargins left="0.7" right="0.7" top="0.75" bottom="0.75" header="0.3" footer="0.3"/>
  <pageSetup paperSize="9" orientation="portrait" horizontalDpi="90" verticalDpi="9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BA69EB-CCEF-4DA6-B10B-7703F1582ABB}">
  <sheetPr>
    <tabColor rgb="FF92D050"/>
  </sheetPr>
  <dimension ref="A1:D9"/>
  <sheetViews>
    <sheetView zoomScale="110" zoomScaleNormal="110" workbookViewId="0">
      <selection activeCell="K10" sqref="K10"/>
    </sheetView>
  </sheetViews>
  <sheetFormatPr defaultRowHeight="14.5" x14ac:dyDescent="0.35"/>
  <cols>
    <col min="1" max="1" width="48.81640625" customWidth="1"/>
    <col min="2" max="2" width="18.1796875" customWidth="1"/>
    <col min="3" max="3" width="18" customWidth="1"/>
    <col min="4" max="4" width="24.81640625" customWidth="1"/>
  </cols>
  <sheetData>
    <row r="1" spans="1:4" x14ac:dyDescent="0.35">
      <c r="D1" s="66" t="s">
        <v>251</v>
      </c>
    </row>
    <row r="2" spans="1:4" x14ac:dyDescent="0.35">
      <c r="D2" s="66"/>
    </row>
    <row r="3" spans="1:4" ht="29" x14ac:dyDescent="0.35">
      <c r="A3" s="5" t="s">
        <v>2</v>
      </c>
      <c r="B3" s="6" t="s">
        <v>0</v>
      </c>
      <c r="C3" s="6" t="s">
        <v>1</v>
      </c>
      <c r="D3" s="5" t="s">
        <v>24</v>
      </c>
    </row>
    <row r="4" spans="1:4" ht="43.5" x14ac:dyDescent="0.35">
      <c r="A4" s="5" t="s">
        <v>113</v>
      </c>
      <c r="B4" s="6" t="s">
        <v>114</v>
      </c>
      <c r="C4" s="7">
        <f>1172.76*1.21</f>
        <v>1419.0395999999998</v>
      </c>
      <c r="D4" s="5" t="s">
        <v>115</v>
      </c>
    </row>
    <row r="5" spans="1:4" ht="43.5" x14ac:dyDescent="0.35">
      <c r="A5" s="5" t="s">
        <v>116</v>
      </c>
      <c r="B5" s="6" t="s">
        <v>117</v>
      </c>
      <c r="C5" s="7">
        <f>8586.64*1.21</f>
        <v>10389.8344</v>
      </c>
      <c r="D5" s="6"/>
    </row>
    <row r="6" spans="1:4" x14ac:dyDescent="0.35">
      <c r="A6" s="6" t="s">
        <v>3</v>
      </c>
      <c r="B6" s="6"/>
      <c r="C6" s="8">
        <f>SUBTOTAL(109,Table1320[Summa ar PVN])</f>
        <v>11808.874</v>
      </c>
    </row>
    <row r="8" spans="1:4" ht="29" x14ac:dyDescent="0.35">
      <c r="A8" s="55" t="s">
        <v>236</v>
      </c>
      <c r="C8" s="2">
        <f>ROUNDUP(C4+C5,0)</f>
        <v>11809</v>
      </c>
    </row>
    <row r="9" spans="1:4" x14ac:dyDescent="0.35">
      <c r="A9" s="55"/>
    </row>
  </sheetData>
  <pageMargins left="0.7" right="0.7" top="0.75" bottom="0.75" header="0.3" footer="0.3"/>
  <tableParts count="1">
    <tablePart r:id="rId1"/>
  </tablePart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F6C360-9614-4C98-AEA8-D9ACAC8AA3F4}">
  <sheetPr>
    <tabColor rgb="FF92D050"/>
  </sheetPr>
  <dimension ref="A1:D11"/>
  <sheetViews>
    <sheetView workbookViewId="0">
      <selection activeCell="L7" sqref="L7"/>
    </sheetView>
  </sheetViews>
  <sheetFormatPr defaultRowHeight="14.5" x14ac:dyDescent="0.35"/>
  <cols>
    <col min="1" max="1" width="37.26953125" customWidth="1"/>
    <col min="2" max="2" width="13.453125" customWidth="1"/>
    <col min="3" max="3" width="22.81640625" customWidth="1"/>
    <col min="4" max="4" width="35.54296875" customWidth="1"/>
  </cols>
  <sheetData>
    <row r="1" spans="1:4" x14ac:dyDescent="0.35">
      <c r="D1" s="66" t="s">
        <v>252</v>
      </c>
    </row>
    <row r="2" spans="1:4" x14ac:dyDescent="0.35">
      <c r="D2" s="66"/>
    </row>
    <row r="3" spans="1:4" ht="49.5" customHeight="1" x14ac:dyDescent="0.35">
      <c r="A3" s="5" t="s">
        <v>45</v>
      </c>
      <c r="B3" s="6" t="s">
        <v>0</v>
      </c>
      <c r="C3" s="6" t="s">
        <v>1</v>
      </c>
      <c r="D3" s="5" t="s">
        <v>24</v>
      </c>
    </row>
    <row r="4" spans="1:4" ht="43.5" x14ac:dyDescent="0.35">
      <c r="A4" s="94" t="s">
        <v>281</v>
      </c>
      <c r="B4" s="6" t="s">
        <v>286</v>
      </c>
      <c r="C4" s="7">
        <v>5739.01</v>
      </c>
      <c r="D4" s="6" t="s">
        <v>288</v>
      </c>
    </row>
    <row r="5" spans="1:4" ht="50.25" customHeight="1" x14ac:dyDescent="0.35">
      <c r="A5" s="94" t="s">
        <v>282</v>
      </c>
      <c r="B5" s="6" t="s">
        <v>287</v>
      </c>
      <c r="C5" s="7">
        <v>1096.68</v>
      </c>
      <c r="D5" s="93" t="s">
        <v>283</v>
      </c>
    </row>
    <row r="6" spans="1:4" ht="43.5" x14ac:dyDescent="0.35">
      <c r="A6" s="82" t="s">
        <v>284</v>
      </c>
      <c r="B6" s="6" t="s">
        <v>289</v>
      </c>
      <c r="C6" s="7">
        <v>88.94</v>
      </c>
      <c r="D6" s="93" t="s">
        <v>70</v>
      </c>
    </row>
    <row r="7" spans="1:4" ht="29" x14ac:dyDescent="0.35">
      <c r="A7" s="82" t="s">
        <v>285</v>
      </c>
      <c r="B7" s="6" t="s">
        <v>289</v>
      </c>
      <c r="C7" s="7">
        <v>444.68</v>
      </c>
      <c r="D7" s="93" t="s">
        <v>70</v>
      </c>
    </row>
    <row r="8" spans="1:4" x14ac:dyDescent="0.35">
      <c r="A8" s="6" t="s">
        <v>3</v>
      </c>
      <c r="B8" s="6"/>
      <c r="C8" s="8">
        <f>SUBTOTAL(109,Table1314[Summa ar PVN])</f>
        <v>7369.31</v>
      </c>
    </row>
    <row r="10" spans="1:4" ht="189.75" customHeight="1" x14ac:dyDescent="0.35">
      <c r="A10" s="55" t="s">
        <v>236</v>
      </c>
      <c r="C10" s="87">
        <f>ROUNDUP(C4+C5+C6+C7,0)</f>
        <v>7370</v>
      </c>
    </row>
    <row r="11" spans="1:4" x14ac:dyDescent="0.35">
      <c r="A11" s="55"/>
    </row>
  </sheetData>
  <pageMargins left="0.7" right="0.7" top="0.75" bottom="0.75" header="0.3" footer="0.3"/>
  <tableParts count="1">
    <tablePart r:id="rId1"/>
  </tablePart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8E809B-EBB2-4F4A-89D2-D68AC15BD2BE}">
  <sheetPr>
    <tabColor rgb="FF92D050"/>
  </sheetPr>
  <dimension ref="A1:D10"/>
  <sheetViews>
    <sheetView workbookViewId="0">
      <selection activeCell="L5" sqref="L5"/>
    </sheetView>
  </sheetViews>
  <sheetFormatPr defaultRowHeight="14.5" x14ac:dyDescent="0.35"/>
  <cols>
    <col min="1" max="1" width="28.7265625" customWidth="1"/>
    <col min="2" max="2" width="20.26953125" customWidth="1"/>
    <col min="3" max="3" width="14.81640625" customWidth="1"/>
    <col min="4" max="4" width="25.7265625" customWidth="1"/>
  </cols>
  <sheetData>
    <row r="1" spans="1:4" x14ac:dyDescent="0.35">
      <c r="D1" s="66" t="s">
        <v>253</v>
      </c>
    </row>
    <row r="2" spans="1:4" x14ac:dyDescent="0.35">
      <c r="D2" s="66"/>
    </row>
    <row r="3" spans="1:4" ht="43.5" x14ac:dyDescent="0.35">
      <c r="A3" s="13" t="s">
        <v>69</v>
      </c>
      <c r="B3" s="14" t="s">
        <v>0</v>
      </c>
      <c r="C3" s="14" t="s">
        <v>1</v>
      </c>
      <c r="D3" s="15" t="s">
        <v>24</v>
      </c>
    </row>
    <row r="4" spans="1:4" ht="58" x14ac:dyDescent="0.35">
      <c r="A4" s="28" t="s">
        <v>128</v>
      </c>
      <c r="B4" s="17" t="s">
        <v>131</v>
      </c>
      <c r="C4" s="53">
        <v>6873.04</v>
      </c>
      <c r="D4" s="88" t="s">
        <v>130</v>
      </c>
    </row>
    <row r="5" spans="1:4" ht="72.5" x14ac:dyDescent="0.35">
      <c r="A5" s="52" t="s">
        <v>129</v>
      </c>
      <c r="B5" s="23" t="s">
        <v>133</v>
      </c>
      <c r="C5" s="24">
        <v>368.45</v>
      </c>
      <c r="D5" t="s">
        <v>132</v>
      </c>
    </row>
    <row r="6" spans="1:4" ht="15" thickBot="1" x14ac:dyDescent="0.4">
      <c r="A6" s="27"/>
      <c r="B6" s="17"/>
      <c r="C6" s="18"/>
      <c r="D6" s="19"/>
    </row>
    <row r="7" spans="1:4" ht="15" thickTop="1" x14ac:dyDescent="0.35">
      <c r="A7" s="20" t="s">
        <v>3</v>
      </c>
      <c r="B7" s="21"/>
      <c r="C7" s="22">
        <f>C4+C5</f>
        <v>7241.49</v>
      </c>
      <c r="D7" s="4"/>
    </row>
    <row r="9" spans="1:4" ht="43.5" x14ac:dyDescent="0.35">
      <c r="A9" s="55" t="s">
        <v>236</v>
      </c>
      <c r="C9" s="2">
        <f>ROUNDUP(C4+C5,0)</f>
        <v>7242</v>
      </c>
    </row>
    <row r="10" spans="1:4" x14ac:dyDescent="0.35">
      <c r="A10" s="55"/>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48A10F-5A7F-4A7A-8C60-DDBEBA90C307}">
  <sheetPr>
    <tabColor rgb="FF92D050"/>
  </sheetPr>
  <dimension ref="A1:D13"/>
  <sheetViews>
    <sheetView workbookViewId="0">
      <selection activeCell="M5" sqref="M5"/>
    </sheetView>
  </sheetViews>
  <sheetFormatPr defaultRowHeight="14.5" x14ac:dyDescent="0.35"/>
  <cols>
    <col min="1" max="1" width="42.453125" customWidth="1"/>
    <col min="2" max="2" width="19.54296875" customWidth="1"/>
    <col min="3" max="3" width="21.81640625" customWidth="1"/>
    <col min="4" max="4" width="25.1796875" customWidth="1"/>
  </cols>
  <sheetData>
    <row r="1" spans="1:4" x14ac:dyDescent="0.35">
      <c r="D1" s="66" t="s">
        <v>254</v>
      </c>
    </row>
    <row r="2" spans="1:4" x14ac:dyDescent="0.35">
      <c r="D2" s="66"/>
    </row>
    <row r="3" spans="1:4" ht="29" x14ac:dyDescent="0.35">
      <c r="A3" s="5" t="s">
        <v>45</v>
      </c>
      <c r="B3" s="6" t="s">
        <v>0</v>
      </c>
      <c r="C3" s="6" t="s">
        <v>1</v>
      </c>
      <c r="D3" s="5" t="s">
        <v>24</v>
      </c>
    </row>
    <row r="4" spans="1:4" ht="174" x14ac:dyDescent="0.35">
      <c r="A4" s="5" t="s">
        <v>49</v>
      </c>
      <c r="B4" s="6"/>
      <c r="C4" s="29"/>
      <c r="D4" s="5"/>
    </row>
    <row r="5" spans="1:4" ht="116" x14ac:dyDescent="0.35">
      <c r="A5" s="5" t="s">
        <v>50</v>
      </c>
      <c r="B5" s="6" t="s">
        <v>225</v>
      </c>
      <c r="C5" s="29">
        <v>10000</v>
      </c>
      <c r="D5" s="6"/>
    </row>
    <row r="6" spans="1:4" ht="58" x14ac:dyDescent="0.35">
      <c r="A6" s="5" t="s">
        <v>51</v>
      </c>
      <c r="B6" s="6"/>
      <c r="C6" s="29"/>
      <c r="D6" s="6"/>
    </row>
    <row r="7" spans="1:4" ht="43.5" x14ac:dyDescent="0.35">
      <c r="A7" s="5" t="s">
        <v>52</v>
      </c>
      <c r="B7" s="6" t="s">
        <v>290</v>
      </c>
      <c r="C7" s="29">
        <v>1611.99</v>
      </c>
      <c r="D7" s="6"/>
    </row>
    <row r="8" spans="1:4" x14ac:dyDescent="0.35">
      <c r="A8" s="5"/>
      <c r="B8" s="6"/>
      <c r="C8" s="7"/>
      <c r="D8" s="6"/>
    </row>
    <row r="9" spans="1:4" x14ac:dyDescent="0.35">
      <c r="A9" s="6" t="s">
        <v>3</v>
      </c>
      <c r="B9" s="6"/>
      <c r="C9" s="30">
        <f>C5+C7</f>
        <v>11611.99</v>
      </c>
    </row>
    <row r="12" spans="1:4" ht="29" x14ac:dyDescent="0.35">
      <c r="A12" s="55" t="s">
        <v>236</v>
      </c>
      <c r="C12" s="89">
        <f>ROUNDUP(C7,0)</f>
        <v>1612</v>
      </c>
    </row>
    <row r="13" spans="1:4" x14ac:dyDescent="0.35">
      <c r="A13" s="55" t="s">
        <v>235</v>
      </c>
      <c r="C13" s="89">
        <f>C5</f>
        <v>10000</v>
      </c>
    </row>
  </sheetData>
  <pageMargins left="0.7" right="0.7" top="0.75" bottom="0.75" header="0.3" footer="0.3"/>
  <tableParts count="1">
    <tablePart r:id="rId1"/>
  </tablePart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97CCB2-51B6-4A9E-9D4A-9DDC72A88DA4}">
  <sheetPr>
    <tabColor rgb="FF92D050"/>
  </sheetPr>
  <dimension ref="A1:D13"/>
  <sheetViews>
    <sheetView workbookViewId="0">
      <selection activeCell="M10" sqref="M10"/>
    </sheetView>
  </sheetViews>
  <sheetFormatPr defaultRowHeight="14.5" x14ac:dyDescent="0.35"/>
  <cols>
    <col min="1" max="1" width="39.7265625" customWidth="1"/>
    <col min="2" max="2" width="11.54296875" customWidth="1"/>
    <col min="3" max="3" width="15" customWidth="1"/>
    <col min="4" max="4" width="17.1796875" customWidth="1"/>
  </cols>
  <sheetData>
    <row r="1" spans="1:4" x14ac:dyDescent="0.35">
      <c r="D1" s="66" t="s">
        <v>255</v>
      </c>
    </row>
    <row r="2" spans="1:4" x14ac:dyDescent="0.35">
      <c r="D2" s="66"/>
    </row>
    <row r="3" spans="1:4" ht="29" x14ac:dyDescent="0.35">
      <c r="A3" s="5" t="s">
        <v>69</v>
      </c>
      <c r="B3" s="6" t="s">
        <v>0</v>
      </c>
      <c r="C3" s="6" t="s">
        <v>1</v>
      </c>
      <c r="D3" s="5" t="s">
        <v>24</v>
      </c>
    </row>
    <row r="4" spans="1:4" ht="43.5" x14ac:dyDescent="0.35">
      <c r="A4" s="5" t="s">
        <v>92</v>
      </c>
      <c r="B4" s="6" t="s">
        <v>259</v>
      </c>
      <c r="C4" s="7">
        <v>13984.28</v>
      </c>
      <c r="D4" s="5" t="s">
        <v>258</v>
      </c>
    </row>
    <row r="5" spans="1:4" ht="58" x14ac:dyDescent="0.35">
      <c r="A5" s="5" t="s">
        <v>93</v>
      </c>
      <c r="B5" s="6" t="s">
        <v>257</v>
      </c>
      <c r="C5" s="7">
        <v>38409.99</v>
      </c>
      <c r="D5" s="6"/>
    </row>
    <row r="6" spans="1:4" x14ac:dyDescent="0.35">
      <c r="A6" s="6" t="s">
        <v>3</v>
      </c>
      <c r="B6" s="6"/>
      <c r="C6" s="8">
        <f>SUBTOTAL(109,Table1317[Summa ar PVN])</f>
        <v>52394.27</v>
      </c>
    </row>
    <row r="8" spans="1:4" x14ac:dyDescent="0.35">
      <c r="A8" s="126" t="s">
        <v>94</v>
      </c>
      <c r="B8" s="126"/>
      <c r="C8" s="126"/>
      <c r="D8" s="126"/>
    </row>
    <row r="9" spans="1:4" x14ac:dyDescent="0.35">
      <c r="A9" s="126"/>
      <c r="B9" s="126"/>
      <c r="C9" s="126"/>
      <c r="D9" s="126"/>
    </row>
    <row r="10" spans="1:4" x14ac:dyDescent="0.35">
      <c r="A10" s="126"/>
      <c r="B10" s="126"/>
      <c r="C10" s="126"/>
      <c r="D10" s="126"/>
    </row>
    <row r="12" spans="1:4" ht="29" x14ac:dyDescent="0.35">
      <c r="A12" s="55" t="s">
        <v>236</v>
      </c>
      <c r="B12" s="2">
        <f>ROUNDUP(C4+C5,0)</f>
        <v>52395</v>
      </c>
    </row>
    <row r="13" spans="1:4" x14ac:dyDescent="0.35">
      <c r="A13" s="55"/>
    </row>
  </sheetData>
  <mergeCells count="1">
    <mergeCell ref="A8:D10"/>
  </mergeCells>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18</vt:i4>
      </vt:variant>
    </vt:vector>
  </HeadingPairs>
  <TitlesOfParts>
    <vt:vector size="18" baseType="lpstr">
      <vt:lpstr>Kopsavilkums</vt:lpstr>
      <vt:lpstr>RAKUS</vt:lpstr>
      <vt:lpstr>Liepāja</vt:lpstr>
      <vt:lpstr>Ziemeļkurzeme</vt:lpstr>
      <vt:lpstr>Vidzeme</vt:lpstr>
      <vt:lpstr>Daugavpils</vt:lpstr>
      <vt:lpstr>Jelgava</vt:lpstr>
      <vt:lpstr>Jūrmala</vt:lpstr>
      <vt:lpstr>Dobele</vt:lpstr>
      <vt:lpstr>Preiļu slimnīca</vt:lpstr>
      <vt:lpstr>Tukums</vt:lpstr>
      <vt:lpstr>Aizkraukle</vt:lpstr>
      <vt:lpstr>Bauska</vt:lpstr>
      <vt:lpstr>Ludza</vt:lpstr>
      <vt:lpstr>Saldus</vt:lpstr>
      <vt:lpstr>TOS</vt:lpstr>
      <vt:lpstr>Rīgas 2.slimn</vt:lpstr>
      <vt:lpstr>Rīgas 1.slimnīca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Zane Bredriha</dc:creator>
  <cp:lastModifiedBy>Guna Jermacāne</cp:lastModifiedBy>
  <dcterms:created xsi:type="dcterms:W3CDTF">2021-11-12T09:58:55Z</dcterms:created>
  <dcterms:modified xsi:type="dcterms:W3CDTF">2022-02-03T15:40:37Z</dcterms:modified>
</cp:coreProperties>
</file>