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ekmin-my.sharepoint.com/personal/anda_paegle_em_gov_lv/Documents/EXPO/Versija_03102023/"/>
    </mc:Choice>
  </mc:AlternateContent>
  <xr:revisionPtr revIDLastSave="2" documentId="14_{0E523B2F-D186-4ED9-9D31-1951771AF845}" xr6:coauthVersionLast="47" xr6:coauthVersionMax="47" xr10:uidLastSave="{DB943E5F-3EF7-4C86-8134-64CE5BD002D1}"/>
  <bookViews>
    <workbookView xWindow="-120" yWindow="-120" windowWidth="29040" windowHeight="15840" tabRatio="675" xr2:uid="{9E88B79E-0ECF-4093-9204-738DA87006BD}"/>
  </bookViews>
  <sheets>
    <sheet name="Tāme Expo 2025" sheetId="6" r:id="rId1"/>
    <sheet name="Atalgojums" sheetId="7" r:id="rId2"/>
  </sheets>
  <definedNames>
    <definedName name="_xlnm.Print_Area" localSheetId="1">Atalgojums!$A$1:$AR$28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R7" i="7" l="1"/>
  <c r="G24" i="7"/>
  <c r="AC16" i="7"/>
  <c r="AP6" i="7"/>
  <c r="AG6" i="7"/>
  <c r="AQ6" i="7"/>
  <c r="AH7" i="7"/>
  <c r="AH6" i="7"/>
  <c r="AG7" i="7"/>
  <c r="M6" i="7"/>
  <c r="M7" i="7"/>
  <c r="N7" i="7"/>
  <c r="W7" i="7"/>
  <c r="W6" i="7"/>
  <c r="X7" i="7"/>
  <c r="X6" i="7"/>
  <c r="N6" i="7"/>
  <c r="AP22" i="7"/>
  <c r="AP19" i="7"/>
  <c r="AK7" i="7"/>
  <c r="AK6" i="7"/>
  <c r="AB9" i="7"/>
  <c r="AB10" i="7"/>
  <c r="AB11" i="7"/>
  <c r="AB6" i="7"/>
  <c r="AB7" i="7"/>
  <c r="AB8" i="7"/>
  <c r="AA16" i="7"/>
  <c r="AA7" i="7"/>
  <c r="AA6" i="7"/>
  <c r="P7" i="7"/>
  <c r="P6" i="7"/>
  <c r="N24" i="7" l="1"/>
  <c r="M24" i="7"/>
  <c r="I24" i="7"/>
  <c r="J24" i="7"/>
  <c r="K24" i="7"/>
  <c r="L24" i="7"/>
  <c r="S24" i="7"/>
  <c r="N17" i="7"/>
  <c r="W16" i="7"/>
  <c r="X5" i="7"/>
  <c r="AP20" i="7"/>
  <c r="AP21" i="7"/>
  <c r="AF8" i="7"/>
  <c r="X8" i="7"/>
  <c r="W8" i="7"/>
  <c r="J7" i="7"/>
  <c r="J6" i="7"/>
  <c r="L7" i="7"/>
  <c r="L6" i="7"/>
  <c r="K7" i="7"/>
  <c r="K6" i="7"/>
  <c r="AK22" i="7"/>
  <c r="AL22" i="7" s="1"/>
  <c r="AA19" i="7"/>
  <c r="AB19" i="7" s="1"/>
  <c r="P23" i="7"/>
  <c r="R23" i="7" s="1"/>
  <c r="W23" i="7" s="1"/>
  <c r="P22" i="7"/>
  <c r="R22" i="7" s="1"/>
  <c r="P21" i="7"/>
  <c r="R21" i="7" s="1"/>
  <c r="P20" i="7"/>
  <c r="R20" i="7" s="1"/>
  <c r="P19" i="7"/>
  <c r="R19" i="7" s="1"/>
  <c r="AA23" i="7" l="1"/>
  <c r="AB23" i="7" s="1"/>
  <c r="AG23" i="7" s="1"/>
  <c r="AA21" i="7"/>
  <c r="AB21" i="7" s="1"/>
  <c r="AG21" i="7" s="1"/>
  <c r="AH21" i="7" s="1"/>
  <c r="AA20" i="7"/>
  <c r="AB20" i="7" s="1"/>
  <c r="AG20" i="7" s="1"/>
  <c r="AH20" i="7" s="1"/>
  <c r="AA22" i="7"/>
  <c r="AB22" i="7" s="1"/>
  <c r="AG22" i="7" s="1"/>
  <c r="AH22" i="7" s="1"/>
  <c r="AQ22" i="7"/>
  <c r="W19" i="7"/>
  <c r="X19" i="7" s="1"/>
  <c r="AG19" i="7"/>
  <c r="AH19" i="7" s="1"/>
  <c r="W21" i="7"/>
  <c r="X21" i="7"/>
  <c r="W20" i="7"/>
  <c r="X20" i="7" s="1"/>
  <c r="X23" i="7"/>
  <c r="AK19" i="7"/>
  <c r="AL19" i="7" s="1"/>
  <c r="W22" i="7"/>
  <c r="X22" i="7" s="1"/>
  <c r="AH23" i="7" l="1"/>
  <c r="AQ19" i="7"/>
  <c r="I22" i="7" l="1"/>
  <c r="M22" i="7" s="1"/>
  <c r="I21" i="7"/>
  <c r="M21" i="7" s="1"/>
  <c r="R6" i="7"/>
  <c r="V6" i="7" l="1"/>
  <c r="T6" i="7"/>
  <c r="U6" i="7"/>
  <c r="P9" i="7"/>
  <c r="AQ20" i="7" l="1"/>
  <c r="AQ21" i="7"/>
  <c r="AP23" i="7"/>
  <c r="AQ23" i="7" s="1"/>
  <c r="N20" i="7"/>
  <c r="N21" i="7"/>
  <c r="N22" i="7"/>
  <c r="AR22" i="7" s="1"/>
  <c r="N23" i="7"/>
  <c r="M20" i="7"/>
  <c r="M23" i="7"/>
  <c r="M19" i="7"/>
  <c r="N19" i="7"/>
  <c r="AR19" i="7" s="1"/>
  <c r="AR21" i="7" l="1"/>
  <c r="AR23" i="7"/>
  <c r="AR20" i="7"/>
  <c r="R7" i="7"/>
  <c r="U7" i="7" l="1"/>
  <c r="U24" i="7" s="1"/>
  <c r="T7" i="7"/>
  <c r="T24" i="7" s="1"/>
  <c r="V7" i="7"/>
  <c r="V24" i="7" s="1"/>
  <c r="AK24" i="7" l="1"/>
  <c r="AL7" i="7"/>
  <c r="AL6" i="7"/>
  <c r="P17" i="7"/>
  <c r="AO7" i="7" l="1"/>
  <c r="AM7" i="7"/>
  <c r="AN7" i="7"/>
  <c r="AN6" i="7"/>
  <c r="AM6" i="7"/>
  <c r="AO6" i="7"/>
  <c r="AL24" i="7"/>
  <c r="AA15" i="7"/>
  <c r="AA14" i="7"/>
  <c r="AA13" i="7"/>
  <c r="AA12" i="7"/>
  <c r="AA8" i="7"/>
  <c r="AA11" i="7"/>
  <c r="AA10" i="7"/>
  <c r="AA9" i="7"/>
  <c r="R17" i="7"/>
  <c r="AA18" i="7"/>
  <c r="AB18" i="7" s="1"/>
  <c r="AA17" i="7"/>
  <c r="AB17" i="7" s="1"/>
  <c r="AP7" i="7" l="1"/>
  <c r="AQ7" i="7" s="1"/>
  <c r="AN24" i="7"/>
  <c r="AM24" i="7"/>
  <c r="AO24" i="7"/>
  <c r="AG18" i="7"/>
  <c r="AH18" i="7" s="1"/>
  <c r="AG17" i="7"/>
  <c r="AH17" i="7"/>
  <c r="W17" i="7"/>
  <c r="X17" i="7"/>
  <c r="AI24" i="7"/>
  <c r="AG8" i="7"/>
  <c r="Y24" i="7"/>
  <c r="P18" i="7"/>
  <c r="R18" i="7" s="1"/>
  <c r="P5" i="7"/>
  <c r="I18" i="7"/>
  <c r="I17" i="7"/>
  <c r="I6" i="7"/>
  <c r="I7" i="7"/>
  <c r="AP24" i="7" l="1"/>
  <c r="AQ24" i="7"/>
  <c r="AH8" i="7"/>
  <c r="AR8" i="7" s="1"/>
  <c r="R5" i="7"/>
  <c r="W5" i="7" s="1"/>
  <c r="AA5" i="7"/>
  <c r="AA24" i="7" s="1"/>
  <c r="W18" i="7"/>
  <c r="X18" i="7" s="1"/>
  <c r="M18" i="7"/>
  <c r="N18" i="7" s="1"/>
  <c r="M17" i="7"/>
  <c r="AR17" i="7" s="1"/>
  <c r="E19" i="6" l="1"/>
  <c r="AR18" i="7"/>
  <c r="AB5" i="7"/>
  <c r="P16" i="7"/>
  <c r="P15" i="7"/>
  <c r="P14" i="7"/>
  <c r="P13" i="7"/>
  <c r="P12" i="7"/>
  <c r="P11" i="7"/>
  <c r="R11" i="7" s="1"/>
  <c r="P10" i="7"/>
  <c r="W11" i="7" l="1"/>
  <c r="X11" i="7"/>
  <c r="S16" i="7"/>
  <c r="P24" i="7"/>
  <c r="R16" i="7"/>
  <c r="AG5" i="7"/>
  <c r="AH5" i="7" s="1"/>
  <c r="H19" i="6"/>
  <c r="R10" i="7"/>
  <c r="R15" i="7"/>
  <c r="R9" i="7"/>
  <c r="AB12" i="7"/>
  <c r="R12" i="7"/>
  <c r="R13" i="7"/>
  <c r="AB14" i="7"/>
  <c r="R14" i="7"/>
  <c r="AB13" i="7"/>
  <c r="AB15" i="7"/>
  <c r="R24" i="7" l="1"/>
  <c r="V16" i="7"/>
  <c r="W15" i="7"/>
  <c r="X15" i="7" s="1"/>
  <c r="W10" i="7"/>
  <c r="X10" i="7" s="1"/>
  <c r="W12" i="7"/>
  <c r="X12" i="7" s="1"/>
  <c r="W9" i="7"/>
  <c r="X9" i="7" s="1"/>
  <c r="W13" i="7"/>
  <c r="W14" i="7"/>
  <c r="X14" i="7" s="1"/>
  <c r="AH12" i="7"/>
  <c r="AG11" i="7"/>
  <c r="AG12" i="7"/>
  <c r="AB16" i="7"/>
  <c r="AG15" i="7"/>
  <c r="AH15" i="7" s="1"/>
  <c r="AG14" i="7"/>
  <c r="AH14" i="7" s="1"/>
  <c r="AG10" i="7"/>
  <c r="AH10" i="7" s="1"/>
  <c r="AG13" i="7"/>
  <c r="AH13" i="7" s="1"/>
  <c r="X13" i="7" l="1"/>
  <c r="AR13" i="7" s="1"/>
  <c r="W24" i="7"/>
  <c r="AF16" i="7"/>
  <c r="AG16" i="7"/>
  <c r="AH16" i="7"/>
  <c r="AE7" i="7"/>
  <c r="AD7" i="7"/>
  <c r="AD6" i="7"/>
  <c r="AE6" i="7"/>
  <c r="X16" i="7"/>
  <c r="AR16" i="7" s="1"/>
  <c r="AH11" i="7"/>
  <c r="AR11" i="7" s="1"/>
  <c r="AB24" i="7"/>
  <c r="AR5" i="7"/>
  <c r="AF7" i="7"/>
  <c r="AF6" i="7"/>
  <c r="AG9" i="7"/>
  <c r="AH9" i="7" s="1"/>
  <c r="AR12" i="7"/>
  <c r="AR10" i="7"/>
  <c r="AR14" i="7"/>
  <c r="AR15" i="7"/>
  <c r="AE24" i="7" l="1"/>
  <c r="AD24" i="7"/>
  <c r="AG24" i="7"/>
  <c r="AF24" i="7"/>
  <c r="AR9" i="7"/>
  <c r="AH24" i="7" l="1"/>
  <c r="G19" i="6" s="1"/>
  <c r="H15" i="6" l="1"/>
  <c r="E15" i="6"/>
  <c r="G15" i="6" l="1"/>
  <c r="F15" i="6"/>
  <c r="I5" i="6" l="1"/>
  <c r="G22" i="6" l="1"/>
  <c r="F10" i="6" l="1"/>
  <c r="G10" i="6"/>
  <c r="H10" i="6"/>
  <c r="E10" i="6"/>
  <c r="F6" i="6"/>
  <c r="G6" i="6"/>
  <c r="H6" i="6"/>
  <c r="E6" i="6"/>
  <c r="G20" i="6"/>
  <c r="I20" i="6" s="1"/>
  <c r="I16" i="6"/>
  <c r="I17" i="6"/>
  <c r="I14" i="6"/>
  <c r="I9" i="6"/>
  <c r="I21" i="6"/>
  <c r="I15" i="6" l="1"/>
  <c r="I22" i="6" l="1"/>
  <c r="I7" i="6"/>
  <c r="I11" i="6"/>
  <c r="I12" i="6"/>
  <c r="I8" i="6"/>
  <c r="I13" i="6"/>
  <c r="I10" i="6" l="1"/>
  <c r="I6" i="6"/>
  <c r="E18" i="6" l="1"/>
  <c r="G18" i="6" l="1"/>
  <c r="G24" i="6" s="1"/>
  <c r="E23" i="6"/>
  <c r="E25" i="6"/>
  <c r="G23" i="6" l="1"/>
  <c r="G25" i="6" s="1"/>
  <c r="H18" i="6"/>
  <c r="H23" i="6" s="1"/>
  <c r="H25" i="6" s="1"/>
  <c r="X24" i="7" l="1"/>
  <c r="F19" i="6" s="1"/>
  <c r="AR6" i="7"/>
  <c r="AR24" i="7" s="1"/>
  <c r="I19" i="6" l="1"/>
  <c r="I18" i="6" s="1"/>
  <c r="I23" i="6" s="1"/>
  <c r="F18" i="6"/>
  <c r="F24" i="6" s="1"/>
  <c r="I24" i="6" s="1"/>
  <c r="F23" i="6" l="1"/>
  <c r="F25" i="6" s="1"/>
  <c r="I25" i="6"/>
</calcChain>
</file>

<file path=xl/sharedStrings.xml><?xml version="1.0" encoding="utf-8"?>
<sst xmlns="http://schemas.openxmlformats.org/spreadsheetml/2006/main" count="159" uniqueCount="116">
  <si>
    <t>EXPO 2025 budžeta tāme</t>
  </si>
  <si>
    <t>KOPĀ</t>
  </si>
  <si>
    <t>Paviljona īre</t>
  </si>
  <si>
    <t>Īres maksa izstādes organizatoriem, 50%</t>
  </si>
  <si>
    <t>Saturs</t>
  </si>
  <si>
    <t>Iekārtošanas izmaksas</t>
  </si>
  <si>
    <t>Paviljona koncepcijas izstrāde, tehniskās dokumentācijas izstrāde, paviljona Latvijas daļas dizaina un ekspozīcijas elementu izgatavošanas, tai skaitā paviljona aprīkojums, eskpozīcijas satura nodrošināšanai nepieciešamā tehnika, uzstādīšana un demontāža</t>
  </si>
  <si>
    <t>Transporta izdevumi satura un ekspozīcijas materiālu nogādāšanai uz Expo un atpakaļ</t>
  </si>
  <si>
    <t>Noliktavas telpu īre eksponātiem un vietējie eksponātu transporta izdevumi Osakā</t>
  </si>
  <si>
    <t>Satura izstrāde</t>
  </si>
  <si>
    <t>Paviljona satura un darbības plāna, t.sk. biznesa programmas sagatavošana un nodrošināšana Expo laikā (Aktivācijas izmaksas)</t>
  </si>
  <si>
    <t>Tērpu (t.sk.reprezentācijai (kā balvas konkursos, suvenīri un paviljona darbinieku aprīkojumu) izgatavošana</t>
  </si>
  <si>
    <t>Svinīgie pasākumi (t.sk. Nacionālā diena paviljonā un ārpus tā: oficiālā daļa ar valsts augstāko amatpersonu piedalīšanos, pieņemšana (t.sk.ēdināšana), Biznesa forums, Latvijas viesmākslinieku dalība, muzikālais un vizuālais noformējums, investīciju piesaistes pasākumi, apaļā galda diskusijas,  inovāciju un tehnoloģiju attīstības un sadarbības aktivitātes u.c. Latvijas atpazīstamību veicinošas aktivitātes</t>
  </si>
  <si>
    <t>Mārketings (t.sk. prezentācijas materiāli) un komunikācijas nodrošināšana</t>
  </si>
  <si>
    <t>Komunālie pakalpojumi</t>
  </si>
  <si>
    <t>Darbinieku izmaksas</t>
  </si>
  <si>
    <t>Paviljona darbinieku komandējumu dienas nauda
(katrs darbinieks komandējumos kopumā varētu pavadīt 210 dienas)</t>
  </si>
  <si>
    <t>Transporta un aviobiļešu izdevumi</t>
  </si>
  <si>
    <t>Dzīvokļu īres un komunālie izdevumi
(7 cilvēki)</t>
  </si>
  <si>
    <t>Neparedzētie izdevumi</t>
  </si>
  <si>
    <t>KOPĀ, EUR</t>
  </si>
  <si>
    <t>Izdevumu tāme 2023.-2026.gadam</t>
  </si>
  <si>
    <t>Atlīdzība</t>
  </si>
  <si>
    <t>Mēnešalgu grupa</t>
  </si>
  <si>
    <t>Mēnešalga/piemaksas</t>
  </si>
  <si>
    <t>2023.g. mēneši</t>
  </si>
  <si>
    <t>2023.g. kopā +ddsoc</t>
  </si>
  <si>
    <t>2026.g.+ddsoc</t>
  </si>
  <si>
    <t xml:space="preserve">Kopā atlīdzība </t>
  </si>
  <si>
    <t>EM vecākais eksperts (01.01.2024.-30.04.2026.)  30%</t>
  </si>
  <si>
    <t>EM departamenta direktora vietnieks (01.01.2024.-31.12.2025.) 30%</t>
  </si>
  <si>
    <t>Valsts sekretāra vietnieks (01.11.2023.-31.12.2025.) 30%</t>
  </si>
  <si>
    <t>Departamenta direktors (01.11.2023.-30.04.2026.) 30%</t>
  </si>
  <si>
    <t>Departamenta direktors (01.01.2024.-31.12.2025.) 30%</t>
  </si>
  <si>
    <t>Kopā</t>
  </si>
  <si>
    <t>EM daļa</t>
  </si>
  <si>
    <t>Organizatoru noteiktā summa.</t>
  </si>
  <si>
    <t>Aprēķini veikti balstoties uz pieredzi Expo 2020 Dubaijā organizēšanā + inflācijas koeficents 17,3% (CSP, 2022).</t>
  </si>
  <si>
    <t>1m2 izmaksas Expo 2020 Dubaijā 3560 x 300m2 (plānotā paviljona platības Expo 2025 Osakā) + 17,3% = 1 252 764 (summa noapaļota uz leju).</t>
  </si>
  <si>
    <t>134 000 (Expo 2020 transporta izdevumi) * 17,3% = 157 182 (summa noapaļota uz leju).</t>
  </si>
  <si>
    <t>Aprēķini veikti balstoties uz pieredzi un ņemot vērā faktu, ka Expo 2025 Osakā  Izstādes īrētajā platībā nav iespējams nodrošināt noliktavu jeb eksponātu uzglabāšanu, kas būs jāīrē ārpus Izstādes paviljona (2000 eur/mēnesī * 23mēneši = 46 000), kā arī jānodrošina transports uz/no paviljona (34 000).</t>
  </si>
  <si>
    <t>Aprēķini veikti balstoties uz pieredzi Expo 2020 Dubaijā organizēšanā (ņemot vērā inflāciju) un pieredzi organizējot pasākumus Japānā.</t>
  </si>
  <si>
    <t>5 nacionālie stendi (120 000 * 5) = 600 000; 8 tirdzniecības misijas (30 000 * 8) = 240 000, biznesa tīklošanās, produktu prezentācijas pasākumi, (50 000 *3)= 150 000, mārketinga kampaņas pasākumiem  (5 300 * apm.16 pasāk.) = 85 000</t>
  </si>
  <si>
    <t>Aprēķini veikti balstoties uz pieredzi Expo 2020 Dubaijā organizēšanā (ņemot vērā inflāciju) un pieredzi organizējot augsta līmeņa starptautiskus pasākumus.</t>
  </si>
  <si>
    <t>Mārketings (tsk.prezentācijas nodrošināšana (reprezentācijas mat. - 3eur * 70 000 (potenciālais apmeklētāju skaits) = 210 000), satura veidošana mājaslapai, sociālajiem tīkliem un citiem informatīvajiem materiāliem latviešu, angļu un japāņu valodā, komunikācijas nodrošināšana Latvijā (80 000) un Japānā (150 000).</t>
  </si>
  <si>
    <t>Skat.sadaļu "Atalgojums"</t>
  </si>
  <si>
    <t>Operatīvās darbības nodrošināšanas izdevumi (komunālie  pakalpojumi un citi pakalpojumi, saimnieciskie izdevumi, apdrošināšana, drošības pakalpojumu nodrošinājums, tīrīšana, internets, sakaru izdevumi, u.c.), 50% (organizatoru noteiktā summa)</t>
  </si>
  <si>
    <t>70 (MK noteiktais komandējumu dienas naudas apjoms Japānā)*7 cilvēki *210 dienas = 102 900</t>
  </si>
  <si>
    <t>Aviobiļetes (1 650*14 (7 cilvēki uz/no Japānas/Latvijas) = 23 100), viet. transporta izd. 6 900</t>
  </si>
  <si>
    <t>1750 * 7 cilv. * 7 mēn. = 85 750</t>
  </si>
  <si>
    <t>1.pielikums</t>
  </si>
  <si>
    <t>Izstādes EXPO 2025 Osaka budžeta tāme</t>
  </si>
  <si>
    <t>2.1.</t>
  </si>
  <si>
    <t>2.2.</t>
  </si>
  <si>
    <t>2.3.</t>
  </si>
  <si>
    <t>3.1.</t>
  </si>
  <si>
    <t>3.2.</t>
  </si>
  <si>
    <t>3.3.</t>
  </si>
  <si>
    <t>3.4.</t>
  </si>
  <si>
    <t>4.</t>
  </si>
  <si>
    <t>4.1.</t>
  </si>
  <si>
    <t>5.</t>
  </si>
  <si>
    <t>4.2.</t>
  </si>
  <si>
    <t>5.1.</t>
  </si>
  <si>
    <t>5.2.</t>
  </si>
  <si>
    <t>5.3.</t>
  </si>
  <si>
    <t>5.4.</t>
  </si>
  <si>
    <t>Kopā 1.-5.izmaksu pozīcija</t>
  </si>
  <si>
    <t>6.</t>
  </si>
  <si>
    <t>Projekta nodrošināšanas darbinieku atlīdzība</t>
  </si>
  <si>
    <t>Neparedzētie izdevumi 2024.-2025.gadā (5% no 1.-5.izmaksu pozīcijas summas)</t>
  </si>
  <si>
    <t>Elektrība, 50% (organizatoru noteiktā summa)</t>
  </si>
  <si>
    <t>APRĒĶINI</t>
  </si>
  <si>
    <t xml:space="preserve">Pārstāvniecības vadītājs Japānā (1.01.2024.-31.12.2025.) 
</t>
  </si>
  <si>
    <t>Amatu saime</t>
  </si>
  <si>
    <t>Amatu saimes līmenis</t>
  </si>
  <si>
    <t>39.1</t>
  </si>
  <si>
    <t xml:space="preserve"> VI</t>
  </si>
  <si>
    <t>III</t>
  </si>
  <si>
    <t xml:space="preserve">VA </t>
  </si>
  <si>
    <t>V</t>
  </si>
  <si>
    <t>1.1.</t>
  </si>
  <si>
    <t>VSAOI 2024.g.</t>
  </si>
  <si>
    <t>VSAOI 2025.g.</t>
  </si>
  <si>
    <t>Amatu skaits/slodze 100%</t>
  </si>
  <si>
    <t>Piemaksa, %</t>
  </si>
  <si>
    <t>2023.g. kopā</t>
  </si>
  <si>
    <t>VSAOI 2023.g.</t>
  </si>
  <si>
    <t>2024.g. kopā +ddsoc</t>
  </si>
  <si>
    <t>2024.g. mēneši</t>
  </si>
  <si>
    <t>2024.g. kopā</t>
  </si>
  <si>
    <t>2025.g. kopā</t>
  </si>
  <si>
    <t>2025.g. mēneši</t>
  </si>
  <si>
    <t>2026.g. mēneši</t>
  </si>
  <si>
    <t>VSAOI 2026.g.</t>
  </si>
  <si>
    <t>2026.g. kopā</t>
  </si>
  <si>
    <t>2025.g. + ddsoc</t>
  </si>
  <si>
    <t>Soc.garantijas (Veselības apdrošin., brilles,Atvaļinājuma pabalsts 50% no mēneša atlīdzības, pabalsti)</t>
  </si>
  <si>
    <t>Ģenerālkomisārs, LIAA (01.01.2024.-31.12.2025.)  30% piemaksa</t>
  </si>
  <si>
    <t xml:space="preserve">Jauna amata vieta- paviljona direktors (12.04.2023.-30.04.2026.)
</t>
  </si>
  <si>
    <t xml:space="preserve">Jauna amata vieta- sabiedrisko attiecību vadītājs (01.11.2023.-30.04.2026.) 
</t>
  </si>
  <si>
    <t>IV</t>
  </si>
  <si>
    <t>IVA</t>
  </si>
  <si>
    <t>39.1.</t>
  </si>
  <si>
    <t>Nodaļas vadītājs 30% piemaksa (01.03.2024.-31.12.2025.)</t>
  </si>
  <si>
    <t xml:space="preserve">Vecākais jurists piemaksa 30% (01.11.2023.-31.10.2025.) </t>
  </si>
  <si>
    <t>Piemaksas</t>
  </si>
  <si>
    <t>Novērtēšanas prēmija, naudas balvas</t>
  </si>
  <si>
    <t>Diplomātiskā ranga piemkasa</t>
  </si>
  <si>
    <t xml:space="preserve">Jaunas 7 amata vieta - vec.projektu vadītājs (01.03.2025.-31.12.2025.) (Japāna)
</t>
  </si>
  <si>
    <t>Diplomātiskā ranga piemaksa</t>
  </si>
  <si>
    <t>Mēnešalgas intervāla viduspunkts, EUR, atbilstoši VK vadlīnijām</t>
  </si>
  <si>
    <t xml:space="preserve">Mēnešalgas intervāla viduspunkts, EUR  atbilstoši VK vadlīnijām </t>
  </si>
  <si>
    <t xml:space="preserve">Mēnešalgas intervāla viduspunkts, EUR atbilstoši VK vadlīnijām </t>
  </si>
  <si>
    <t xml:space="preserve">Vecākais projektu vadītājs 30% piemaksa (01.03.2024.-31.12.2025.)
</t>
  </si>
  <si>
    <t xml:space="preserve">Vecākais projektu vadītājs 30% piemaksa (01.06.2024.-31.12.2025.)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</si>
</sst>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quot;€&quot;"/>
    <numFmt numFmtId="165" formatCode="#,##0.00\ &quot;€&quot;"/>
    <numFmt numFmtId="166" formatCode="#,##0.0"/>
  </numFmts>
  <fonts count="29" x14ac:knownFonts="1">
    <font>
      <sz val="11"/>
      <color theme="1"/>
      <name val="Calibri"/>
      <family val="2"/>
      <charset val="186"/>
      <scheme val="minor"/>
    </font>
    <font>
      <sz val="11"/>
      <color theme="1"/>
      <name val="Times New Roman"/>
      <family val="1"/>
      <charset val="186"/>
    </font>
    <font>
      <sz val="11"/>
      <name val="Times New Roman"/>
      <family val="1"/>
      <charset val="186"/>
    </font>
    <font>
      <b/>
      <sz val="11"/>
      <color theme="1"/>
      <name val="Times New Roman"/>
      <family val="1"/>
      <charset val="186"/>
    </font>
    <font>
      <b/>
      <sz val="12"/>
      <color rgb="FF7030A0"/>
      <name val="Times New Roman"/>
      <family val="1"/>
      <charset val="186"/>
    </font>
    <font>
      <sz val="12"/>
      <name val="Times New Roman"/>
      <family val="1"/>
    </font>
    <font>
      <b/>
      <sz val="11"/>
      <name val="Times New Roman"/>
      <family val="1"/>
      <charset val="186"/>
    </font>
    <font>
      <sz val="12"/>
      <color theme="1"/>
      <name val="Times New Roman"/>
      <family val="1"/>
    </font>
    <font>
      <b/>
      <sz val="12"/>
      <color theme="1"/>
      <name val="Times New Roman"/>
      <family val="1"/>
    </font>
    <font>
      <sz val="12"/>
      <color theme="1"/>
      <name val="Times New Roman"/>
      <family val="1"/>
      <charset val="186"/>
    </font>
    <font>
      <i/>
      <sz val="11"/>
      <color theme="1"/>
      <name val="Times New Roman"/>
      <family val="1"/>
      <charset val="186"/>
    </font>
    <font>
      <b/>
      <sz val="11"/>
      <color theme="1"/>
      <name val="Times New Roman"/>
      <family val="1"/>
    </font>
    <font>
      <sz val="11"/>
      <color rgb="FFFF0000"/>
      <name val="Times New Roman"/>
      <family val="1"/>
      <charset val="186"/>
    </font>
    <font>
      <sz val="11"/>
      <color rgb="FFFF0000"/>
      <name val="Times New Roman"/>
      <family val="1"/>
    </font>
    <font>
      <sz val="11"/>
      <name val="Times New Roman"/>
      <family val="1"/>
    </font>
    <font>
      <b/>
      <sz val="11"/>
      <color rgb="FF7030A0"/>
      <name val="Times New Roman"/>
      <family val="1"/>
    </font>
    <font>
      <sz val="11"/>
      <color theme="1"/>
      <name val="Times New Roman"/>
      <family val="1"/>
    </font>
    <font>
      <sz val="11"/>
      <color rgb="FF000000"/>
      <name val="Times New Roman"/>
      <family val="1"/>
    </font>
    <font>
      <i/>
      <sz val="11"/>
      <color theme="1"/>
      <name val="Times New Roman"/>
      <family val="1"/>
    </font>
    <font>
      <i/>
      <sz val="11"/>
      <color rgb="FFFF0000"/>
      <name val="Times New Roman"/>
      <family val="1"/>
    </font>
    <font>
      <b/>
      <sz val="11"/>
      <name val="Times New Roman"/>
      <family val="1"/>
    </font>
    <font>
      <b/>
      <i/>
      <sz val="11"/>
      <color theme="1"/>
      <name val="Times New Roman"/>
      <family val="1"/>
    </font>
    <font>
      <b/>
      <sz val="12"/>
      <color rgb="FF00B0F0"/>
      <name val="Times New Roman"/>
      <family val="1"/>
    </font>
    <font>
      <sz val="12"/>
      <color rgb="FF00B0F0"/>
      <name val="Times New Roman"/>
      <family val="1"/>
    </font>
    <font>
      <sz val="11"/>
      <color rgb="FF00B0F0"/>
      <name val="Times New Roman"/>
      <family val="1"/>
    </font>
    <font>
      <sz val="12"/>
      <name val="Times New Roman"/>
      <family val="1"/>
      <charset val="186"/>
    </font>
    <font>
      <b/>
      <sz val="12"/>
      <name val="Times New Roman"/>
      <family val="1"/>
      <charset val="186"/>
    </font>
    <font>
      <b/>
      <sz val="10"/>
      <name val="Times New Roman"/>
      <family val="1"/>
      <charset val="186"/>
    </font>
    <font>
      <b/>
      <sz val="12"/>
      <color theme="1"/>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39997558519241921"/>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s>
  <cellStyleXfs count="1">
    <xf numFmtId="0" fontId="0" fillId="0" borderId="0"/>
  </cellStyleXfs>
  <cellXfs count="226">
    <xf numFmtId="0" fontId="0" fillId="0" borderId="0" xfId="0"/>
    <xf numFmtId="0" fontId="1" fillId="0" borderId="0" xfId="0" applyFont="1"/>
    <xf numFmtId="0" fontId="3" fillId="0" borderId="3"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 xfId="0" applyFont="1" applyBorder="1" applyAlignment="1">
      <alignment horizontal="left" vertical="center"/>
    </xf>
    <xf numFmtId="0" fontId="4" fillId="0" borderId="0" xfId="0" applyFont="1" applyAlignment="1">
      <alignment horizontal="left" vertical="center"/>
    </xf>
    <xf numFmtId="0" fontId="8" fillId="0" borderId="0" xfId="0" applyFont="1"/>
    <xf numFmtId="0" fontId="9" fillId="2" borderId="1" xfId="0" applyFont="1" applyFill="1" applyBorder="1" applyAlignment="1">
      <alignment vertical="top" wrapText="1"/>
    </xf>
    <xf numFmtId="4" fontId="1" fillId="2" borderId="1" xfId="0" applyNumberFormat="1" applyFont="1" applyFill="1" applyBorder="1" applyAlignment="1">
      <alignment vertical="center"/>
    </xf>
    <xf numFmtId="0" fontId="1" fillId="2" borderId="0" xfId="0" applyFont="1" applyFill="1"/>
    <xf numFmtId="0" fontId="16" fillId="0" borderId="0" xfId="0" applyFont="1"/>
    <xf numFmtId="164" fontId="16" fillId="0" borderId="0" xfId="0" applyNumberFormat="1" applyFont="1"/>
    <xf numFmtId="0" fontId="18" fillId="0" borderId="0" xfId="0" applyFont="1"/>
    <xf numFmtId="4" fontId="1" fillId="0" borderId="0" xfId="0" applyNumberFormat="1" applyFont="1"/>
    <xf numFmtId="0" fontId="16" fillId="0" borderId="0" xfId="0" applyFont="1" applyAlignment="1">
      <alignment horizontal="center"/>
    </xf>
    <xf numFmtId="0" fontId="16" fillId="0" borderId="1" xfId="0" applyFont="1" applyBorder="1" applyAlignment="1">
      <alignment horizontal="center"/>
    </xf>
    <xf numFmtId="0" fontId="19" fillId="0" borderId="0" xfId="0" applyFont="1"/>
    <xf numFmtId="4" fontId="2" fillId="0" borderId="1" xfId="0" applyNumberFormat="1" applyFont="1" applyBorder="1" applyAlignment="1">
      <alignment vertical="center"/>
    </xf>
    <xf numFmtId="4" fontId="1" fillId="0" borderId="1" xfId="0" applyNumberFormat="1" applyFont="1" applyBorder="1" applyAlignment="1">
      <alignment vertical="center"/>
    </xf>
    <xf numFmtId="0" fontId="12" fillId="0" borderId="0" xfId="0" applyFont="1"/>
    <xf numFmtId="0" fontId="5" fillId="0" borderId="1" xfId="0" applyFont="1" applyBorder="1" applyAlignment="1">
      <alignment vertical="top" wrapText="1"/>
    </xf>
    <xf numFmtId="0" fontId="11" fillId="4" borderId="1" xfId="0" applyFont="1" applyFill="1" applyBorder="1" applyAlignment="1">
      <alignment horizontal="center" vertical="center" wrapText="1"/>
    </xf>
    <xf numFmtId="4" fontId="1" fillId="0" borderId="1" xfId="0" applyNumberFormat="1" applyFont="1" applyBorder="1" applyAlignment="1">
      <alignment vertical="justify" wrapText="1"/>
    </xf>
    <xf numFmtId="0" fontId="16" fillId="0" borderId="1" xfId="0" applyFont="1" applyBorder="1" applyAlignment="1">
      <alignment vertical="justify"/>
    </xf>
    <xf numFmtId="0" fontId="16" fillId="0" borderId="1" xfId="0" applyFont="1" applyBorder="1"/>
    <xf numFmtId="0" fontId="18" fillId="0" borderId="1" xfId="0" applyFont="1" applyBorder="1"/>
    <xf numFmtId="0" fontId="16" fillId="4" borderId="1" xfId="0" applyFont="1" applyFill="1" applyBorder="1"/>
    <xf numFmtId="0" fontId="16" fillId="4" borderId="1" xfId="0" applyFont="1" applyFill="1" applyBorder="1" applyAlignment="1">
      <alignment horizontal="center"/>
    </xf>
    <xf numFmtId="0" fontId="3" fillId="3" borderId="2" xfId="0" applyFont="1" applyFill="1" applyBorder="1" applyAlignment="1">
      <alignment horizontal="center"/>
    </xf>
    <xf numFmtId="0" fontId="10" fillId="0" borderId="0" xfId="0" applyFont="1" applyAlignment="1">
      <alignment vertical="center"/>
    </xf>
    <xf numFmtId="0" fontId="11" fillId="4" borderId="1" xfId="0" applyFont="1" applyFill="1" applyBorder="1" applyAlignment="1">
      <alignment horizontal="left"/>
    </xf>
    <xf numFmtId="0" fontId="16" fillId="0" borderId="0" xfId="0" applyFont="1" applyAlignment="1">
      <alignment horizontal="left"/>
    </xf>
    <xf numFmtId="0" fontId="16" fillId="0" borderId="1" xfId="0" applyFont="1" applyBorder="1" applyAlignment="1">
      <alignment horizontal="left" wrapText="1"/>
    </xf>
    <xf numFmtId="0" fontId="16" fillId="0" borderId="1" xfId="0" applyFont="1" applyBorder="1" applyAlignment="1">
      <alignment wrapText="1"/>
    </xf>
    <xf numFmtId="0" fontId="14" fillId="0" borderId="1" xfId="0" applyFont="1" applyBorder="1" applyAlignment="1">
      <alignment wrapText="1"/>
    </xf>
    <xf numFmtId="4" fontId="16" fillId="0" borderId="1" xfId="0" applyNumberFormat="1" applyFont="1" applyBorder="1" applyAlignment="1">
      <alignment vertical="justify" wrapText="1"/>
    </xf>
    <xf numFmtId="4" fontId="16" fillId="0" borderId="1" xfId="0" applyNumberFormat="1" applyFont="1" applyBorder="1" applyAlignment="1">
      <alignment horizontal="left" wrapText="1"/>
    </xf>
    <xf numFmtId="16" fontId="16" fillId="0" borderId="1" xfId="0" applyNumberFormat="1" applyFont="1" applyBorder="1" applyAlignment="1">
      <alignment horizontal="center"/>
    </xf>
    <xf numFmtId="0" fontId="11" fillId="4" borderId="11" xfId="0" applyFont="1" applyFill="1" applyBorder="1" applyAlignment="1">
      <alignment horizontal="center" vertical="center" wrapText="1"/>
    </xf>
    <xf numFmtId="4" fontId="1" fillId="3" borderId="1" xfId="0" applyNumberFormat="1" applyFont="1" applyFill="1" applyBorder="1" applyAlignment="1">
      <alignment horizontal="left" vertical="center" wrapText="1"/>
    </xf>
    <xf numFmtId="4" fontId="1" fillId="3" borderId="1" xfId="0" applyNumberFormat="1" applyFont="1" applyFill="1" applyBorder="1" applyAlignment="1">
      <alignment wrapText="1"/>
    </xf>
    <xf numFmtId="0" fontId="16" fillId="3" borderId="1" xfId="0" applyFont="1" applyFill="1" applyBorder="1" applyAlignment="1">
      <alignment horizontal="left" wrapText="1"/>
    </xf>
    <xf numFmtId="16" fontId="16" fillId="3" borderId="1" xfId="0" applyNumberFormat="1" applyFont="1" applyFill="1" applyBorder="1" applyAlignment="1">
      <alignment horizontal="center"/>
    </xf>
    <xf numFmtId="4" fontId="16" fillId="3" borderId="1" xfId="0" applyNumberFormat="1" applyFont="1" applyFill="1" applyBorder="1" applyAlignment="1">
      <alignment vertical="justify" wrapText="1"/>
    </xf>
    <xf numFmtId="0" fontId="20" fillId="3" borderId="1" xfId="0" applyFont="1" applyFill="1" applyBorder="1" applyAlignment="1">
      <alignment horizontal="center" wrapText="1"/>
    </xf>
    <xf numFmtId="0" fontId="20" fillId="3" borderId="1" xfId="0" applyFont="1" applyFill="1" applyBorder="1" applyAlignment="1">
      <alignment wrapText="1"/>
    </xf>
    <xf numFmtId="0" fontId="16" fillId="3" borderId="1" xfId="0" applyFont="1" applyFill="1" applyBorder="1" applyAlignment="1">
      <alignment wrapText="1"/>
    </xf>
    <xf numFmtId="0" fontId="16" fillId="3" borderId="1" xfId="0" applyFont="1" applyFill="1" applyBorder="1"/>
    <xf numFmtId="165" fontId="16" fillId="0" borderId="0" xfId="0" applyNumberFormat="1" applyFont="1"/>
    <xf numFmtId="165" fontId="11" fillId="3" borderId="5" xfId="0" applyNumberFormat="1" applyFont="1" applyFill="1" applyBorder="1" applyAlignment="1">
      <alignment horizontal="center" vertical="center"/>
    </xf>
    <xf numFmtId="165" fontId="15" fillId="0" borderId="1" xfId="0" applyNumberFormat="1" applyFont="1" applyBorder="1"/>
    <xf numFmtId="165" fontId="18" fillId="0" borderId="0" xfId="0" applyNumberFormat="1" applyFont="1"/>
    <xf numFmtId="0" fontId="11" fillId="0" borderId="1" xfId="0" applyFont="1" applyBorder="1" applyAlignment="1">
      <alignment horizontal="center"/>
    </xf>
    <xf numFmtId="0" fontId="11" fillId="0" borderId="1" xfId="0" applyFont="1" applyBorder="1" applyAlignment="1">
      <alignment wrapText="1"/>
    </xf>
    <xf numFmtId="0" fontId="11" fillId="3" borderId="4" xfId="0" applyFont="1" applyFill="1" applyBorder="1" applyAlignment="1">
      <alignment horizontal="center"/>
    </xf>
    <xf numFmtId="0" fontId="11" fillId="3" borderId="4" xfId="0" applyFont="1" applyFill="1" applyBorder="1" applyAlignment="1">
      <alignment horizontal="center" vertical="center"/>
    </xf>
    <xf numFmtId="0" fontId="11" fillId="3" borderId="6" xfId="0" applyFont="1" applyFill="1" applyBorder="1" applyAlignment="1">
      <alignment horizontal="center" vertical="center"/>
    </xf>
    <xf numFmtId="164" fontId="20" fillId="3" borderId="1" xfId="0" applyNumberFormat="1" applyFont="1" applyFill="1" applyBorder="1"/>
    <xf numFmtId="164" fontId="16" fillId="0" borderId="1" xfId="0" applyNumberFormat="1" applyFont="1" applyBorder="1"/>
    <xf numFmtId="164" fontId="17" fillId="0" borderId="1" xfId="0" applyNumberFormat="1" applyFont="1" applyBorder="1" applyAlignment="1">
      <alignment horizontal="right"/>
    </xf>
    <xf numFmtId="164" fontId="20" fillId="3" borderId="1" xfId="0" applyNumberFormat="1" applyFont="1" applyFill="1" applyBorder="1" applyAlignment="1">
      <alignment horizontal="right"/>
    </xf>
    <xf numFmtId="164" fontId="21" fillId="0" borderId="1" xfId="0" applyNumberFormat="1" applyFont="1" applyBorder="1"/>
    <xf numFmtId="164" fontId="11" fillId="0" borderId="1" xfId="0" applyNumberFormat="1" applyFont="1" applyBorder="1"/>
    <xf numFmtId="164" fontId="11" fillId="4" borderId="1" xfId="0" applyNumberFormat="1" applyFont="1" applyFill="1" applyBorder="1"/>
    <xf numFmtId="3" fontId="3" fillId="0" borderId="1" xfId="0" applyNumberFormat="1" applyFont="1" applyBorder="1" applyAlignment="1">
      <alignment vertical="center"/>
    </xf>
    <xf numFmtId="3" fontId="8" fillId="0" borderId="0" xfId="0" applyNumberFormat="1" applyFont="1"/>
    <xf numFmtId="3" fontId="1" fillId="0" borderId="1" xfId="0" applyNumberFormat="1" applyFont="1" applyBorder="1" applyAlignment="1">
      <alignment vertical="center"/>
    </xf>
    <xf numFmtId="3" fontId="2" fillId="0" borderId="1" xfId="0" applyNumberFormat="1" applyFont="1" applyBorder="1" applyAlignment="1">
      <alignment vertical="center"/>
    </xf>
    <xf numFmtId="3" fontId="1" fillId="2" borderId="1" xfId="0" applyNumberFormat="1" applyFont="1" applyFill="1" applyBorder="1" applyAlignment="1">
      <alignment vertical="center"/>
    </xf>
    <xf numFmtId="3" fontId="3" fillId="2" borderId="1" xfId="0" applyNumberFormat="1" applyFont="1" applyFill="1" applyBorder="1" applyAlignment="1">
      <alignment vertical="center"/>
    </xf>
    <xf numFmtId="0" fontId="7"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4" fillId="0" borderId="0" xfId="0" applyFont="1" applyAlignment="1">
      <alignment horizontal="center" vertical="center"/>
    </xf>
    <xf numFmtId="0" fontId="1" fillId="0" borderId="0" xfId="0" applyFont="1" applyAlignment="1">
      <alignment horizontal="center" vertical="center"/>
    </xf>
    <xf numFmtId="16" fontId="7" fillId="0" borderId="1" xfId="0" applyNumberFormat="1" applyFont="1" applyBorder="1" applyAlignment="1">
      <alignment horizontal="center" vertical="center" wrapText="1"/>
    </xf>
    <xf numFmtId="0" fontId="9" fillId="3" borderId="1" xfId="0" applyFont="1" applyFill="1" applyBorder="1" applyAlignment="1">
      <alignment vertical="top" wrapText="1"/>
    </xf>
    <xf numFmtId="0" fontId="9" fillId="3" borderId="1" xfId="0" applyFont="1" applyFill="1" applyBorder="1" applyAlignment="1">
      <alignment horizontal="center" vertical="center" wrapText="1"/>
    </xf>
    <xf numFmtId="3" fontId="1" fillId="3" borderId="1" xfId="0" applyNumberFormat="1" applyFont="1" applyFill="1" applyBorder="1" applyAlignment="1">
      <alignment vertical="center"/>
    </xf>
    <xf numFmtId="4" fontId="1" fillId="3" borderId="1" xfId="0" applyNumberFormat="1" applyFont="1" applyFill="1" applyBorder="1" applyAlignment="1">
      <alignment vertical="center"/>
    </xf>
    <xf numFmtId="3" fontId="11" fillId="3" borderId="1" xfId="0" applyNumberFormat="1" applyFont="1" applyFill="1" applyBorder="1" applyAlignment="1">
      <alignment vertical="center"/>
    </xf>
    <xf numFmtId="0" fontId="1" fillId="3" borderId="0" xfId="0" applyFont="1" applyFill="1"/>
    <xf numFmtId="0" fontId="6" fillId="0" borderId="15" xfId="0" applyFont="1" applyBorder="1" applyAlignment="1">
      <alignment horizontal="center" vertical="center" wrapText="1"/>
    </xf>
    <xf numFmtId="0" fontId="3" fillId="0" borderId="0" xfId="0" applyFont="1"/>
    <xf numFmtId="0" fontId="3" fillId="0" borderId="9" xfId="0" applyFont="1" applyBorder="1"/>
    <xf numFmtId="4" fontId="1" fillId="0" borderId="13" xfId="0" applyNumberFormat="1" applyFont="1" applyBorder="1" applyAlignment="1">
      <alignment vertical="center"/>
    </xf>
    <xf numFmtId="4" fontId="2" fillId="0" borderId="13" xfId="0" applyNumberFormat="1" applyFont="1" applyBorder="1" applyAlignment="1">
      <alignment vertical="center"/>
    </xf>
    <xf numFmtId="4" fontId="1" fillId="2" borderId="13" xfId="0" applyNumberFormat="1" applyFont="1" applyFill="1" applyBorder="1" applyAlignment="1">
      <alignment vertical="center"/>
    </xf>
    <xf numFmtId="3" fontId="1" fillId="0" borderId="13" xfId="0" applyNumberFormat="1" applyFont="1" applyBorder="1" applyAlignment="1">
      <alignment vertical="center"/>
    </xf>
    <xf numFmtId="3" fontId="1" fillId="2" borderId="13" xfId="0" applyNumberFormat="1" applyFont="1" applyFill="1" applyBorder="1" applyAlignment="1">
      <alignment vertical="center"/>
    </xf>
    <xf numFmtId="3" fontId="2" fillId="0" borderId="13" xfId="0" applyNumberFormat="1" applyFont="1" applyBorder="1" applyAlignment="1">
      <alignment vertical="center"/>
    </xf>
    <xf numFmtId="3" fontId="3" fillId="0" borderId="12" xfId="0" applyNumberFormat="1" applyFont="1" applyBorder="1" applyAlignment="1">
      <alignment vertical="center"/>
    </xf>
    <xf numFmtId="0" fontId="8" fillId="0" borderId="17" xfId="0" applyFont="1" applyBorder="1" applyAlignment="1">
      <alignment horizontal="center" vertical="center" wrapText="1"/>
    </xf>
    <xf numFmtId="0" fontId="8" fillId="0" borderId="18" xfId="0" applyFont="1" applyBorder="1"/>
    <xf numFmtId="3" fontId="8" fillId="0" borderId="19" xfId="0" applyNumberFormat="1" applyFont="1" applyBorder="1" applyAlignment="1">
      <alignment vertical="center"/>
    </xf>
    <xf numFmtId="3" fontId="8" fillId="3" borderId="19" xfId="0" applyNumberFormat="1" applyFont="1" applyFill="1" applyBorder="1" applyAlignment="1">
      <alignment vertical="center"/>
    </xf>
    <xf numFmtId="3" fontId="8" fillId="2" borderId="19" xfId="0" applyNumberFormat="1" applyFont="1" applyFill="1" applyBorder="1" applyAlignment="1">
      <alignment vertical="center"/>
    </xf>
    <xf numFmtId="9" fontId="7" fillId="0" borderId="1" xfId="0" applyNumberFormat="1" applyFont="1" applyBorder="1" applyAlignment="1">
      <alignment horizontal="center" vertical="center" wrapText="1"/>
    </xf>
    <xf numFmtId="0" fontId="24" fillId="0" borderId="0" xfId="0" applyFont="1"/>
    <xf numFmtId="3" fontId="2" fillId="2" borderId="13" xfId="0" applyNumberFormat="1" applyFont="1" applyFill="1" applyBorder="1" applyAlignment="1">
      <alignment vertical="center"/>
    </xf>
    <xf numFmtId="1" fontId="7"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0" fontId="3" fillId="0" borderId="7" xfId="0" applyFont="1" applyBorder="1"/>
    <xf numFmtId="3" fontId="1" fillId="3" borderId="11" xfId="0" applyNumberFormat="1" applyFont="1" applyFill="1" applyBorder="1" applyAlignment="1">
      <alignment vertical="center"/>
    </xf>
    <xf numFmtId="3" fontId="13" fillId="0" borderId="1" xfId="0" applyNumberFormat="1" applyFont="1" applyBorder="1" applyAlignment="1">
      <alignment vertical="center"/>
    </xf>
    <xf numFmtId="3" fontId="12" fillId="2" borderId="1" xfId="0" applyNumberFormat="1" applyFont="1" applyFill="1" applyBorder="1" applyAlignment="1">
      <alignment vertical="center"/>
    </xf>
    <xf numFmtId="3" fontId="12" fillId="0" borderId="1" xfId="0" applyNumberFormat="1" applyFont="1" applyBorder="1" applyAlignment="1">
      <alignment vertical="center"/>
    </xf>
    <xf numFmtId="0" fontId="3" fillId="0" borderId="1" xfId="0" applyFont="1" applyBorder="1"/>
    <xf numFmtId="9" fontId="7" fillId="0" borderId="12" xfId="0" applyNumberFormat="1" applyFont="1" applyBorder="1" applyAlignment="1">
      <alignment horizontal="center" vertical="center" wrapText="1"/>
    </xf>
    <xf numFmtId="0" fontId="7" fillId="0" borderId="12" xfId="0" applyFont="1" applyBorder="1" applyAlignment="1">
      <alignment horizontal="center" vertical="center" wrapText="1"/>
    </xf>
    <xf numFmtId="0" fontId="5" fillId="0" borderId="12" xfId="0" applyFont="1" applyBorder="1" applyAlignment="1">
      <alignment horizontal="center" vertical="center" wrapText="1"/>
    </xf>
    <xf numFmtId="0" fontId="22" fillId="0" borderId="0" xfId="0" applyFont="1" applyAlignment="1">
      <alignment horizontal="left" vertical="center"/>
    </xf>
    <xf numFmtId="0" fontId="4" fillId="0" borderId="25" xfId="0" applyFont="1" applyBorder="1" applyAlignment="1">
      <alignment horizontal="left" vertical="center"/>
    </xf>
    <xf numFmtId="9" fontId="7" fillId="0" borderId="26" xfId="0" applyNumberFormat="1" applyFont="1" applyBorder="1" applyAlignment="1">
      <alignment horizontal="center" vertical="center" wrapText="1"/>
    </xf>
    <xf numFmtId="1" fontId="7" fillId="0" borderId="26" xfId="0" applyNumberFormat="1" applyFont="1" applyBorder="1" applyAlignment="1">
      <alignment horizontal="center" vertical="center" wrapText="1"/>
    </xf>
    <xf numFmtId="1" fontId="7" fillId="0" borderId="28" xfId="0" applyNumberFormat="1" applyFont="1" applyBorder="1" applyAlignment="1">
      <alignment horizontal="center" vertical="center" wrapText="1"/>
    </xf>
    <xf numFmtId="3" fontId="3" fillId="0" borderId="26" xfId="0" applyNumberFormat="1" applyFont="1" applyBorder="1" applyAlignment="1">
      <alignment vertical="center"/>
    </xf>
    <xf numFmtId="3" fontId="6" fillId="0" borderId="26" xfId="0" applyNumberFormat="1" applyFont="1" applyBorder="1" applyAlignment="1">
      <alignment vertical="center"/>
    </xf>
    <xf numFmtId="3" fontId="1" fillId="2" borderId="28" xfId="0" applyNumberFormat="1" applyFont="1" applyFill="1" applyBorder="1" applyAlignment="1">
      <alignment vertical="center"/>
    </xf>
    <xf numFmtId="3" fontId="1" fillId="0" borderId="28" xfId="0" applyNumberFormat="1" applyFont="1" applyBorder="1" applyAlignment="1">
      <alignment vertical="center"/>
    </xf>
    <xf numFmtId="3" fontId="2" fillId="2" borderId="32" xfId="0" applyNumberFormat="1" applyFont="1" applyFill="1" applyBorder="1" applyAlignment="1">
      <alignment vertical="center"/>
    </xf>
    <xf numFmtId="4" fontId="1" fillId="2" borderId="32" xfId="0" applyNumberFormat="1" applyFont="1" applyFill="1" applyBorder="1" applyAlignment="1">
      <alignment vertical="center"/>
    </xf>
    <xf numFmtId="0" fontId="3" fillId="0" borderId="25" xfId="0" applyFont="1" applyBorder="1"/>
    <xf numFmtId="3" fontId="3" fillId="0" borderId="16" xfId="0" applyNumberFormat="1" applyFont="1" applyBorder="1" applyAlignment="1">
      <alignment vertical="center"/>
    </xf>
    <xf numFmtId="3" fontId="3" fillId="2" borderId="26" xfId="0" applyNumberFormat="1" applyFont="1" applyFill="1" applyBorder="1" applyAlignment="1">
      <alignment vertical="center"/>
    </xf>
    <xf numFmtId="3" fontId="3" fillId="0" borderId="27" xfId="0" applyNumberFormat="1" applyFont="1" applyBorder="1" applyAlignment="1">
      <alignment vertical="center"/>
    </xf>
    <xf numFmtId="3" fontId="3" fillId="2" borderId="28" xfId="0" applyNumberFormat="1" applyFont="1" applyFill="1" applyBorder="1" applyAlignment="1">
      <alignment vertical="center"/>
    </xf>
    <xf numFmtId="3" fontId="12" fillId="2" borderId="28" xfId="0" applyNumberFormat="1" applyFont="1" applyFill="1" applyBorder="1" applyAlignment="1">
      <alignment vertical="center"/>
    </xf>
    <xf numFmtId="4" fontId="1" fillId="2" borderId="28" xfId="0" applyNumberFormat="1" applyFont="1" applyFill="1" applyBorder="1" applyAlignment="1">
      <alignment vertical="center"/>
    </xf>
    <xf numFmtId="3" fontId="3" fillId="2" borderId="29" xfId="0" applyNumberFormat="1" applyFont="1" applyFill="1" applyBorder="1" applyAlignment="1">
      <alignment vertical="center"/>
    </xf>
    <xf numFmtId="3" fontId="6" fillId="0" borderId="16" xfId="0" applyNumberFormat="1" applyFont="1" applyBorder="1" applyAlignment="1">
      <alignment vertical="center"/>
    </xf>
    <xf numFmtId="3" fontId="6" fillId="0" borderId="27" xfId="0" applyNumberFormat="1" applyFont="1" applyBorder="1" applyAlignment="1">
      <alignment vertical="center"/>
    </xf>
    <xf numFmtId="3" fontId="1" fillId="2" borderId="32" xfId="0" applyNumberFormat="1" applyFont="1" applyFill="1" applyBorder="1" applyAlignment="1">
      <alignment vertical="center"/>
    </xf>
    <xf numFmtId="0" fontId="6" fillId="0" borderId="11"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0" xfId="0" applyFont="1" applyBorder="1" applyAlignment="1">
      <alignment horizontal="center" vertical="center" wrapText="1"/>
    </xf>
    <xf numFmtId="0" fontId="4" fillId="0" borderId="9" xfId="0" applyFont="1" applyBorder="1" applyAlignment="1">
      <alignment horizontal="left" vertical="center"/>
    </xf>
    <xf numFmtId="0" fontId="1" fillId="0" borderId="1" xfId="0" applyFont="1" applyBorder="1"/>
    <xf numFmtId="0" fontId="1" fillId="0" borderId="23" xfId="0" applyFont="1" applyBorder="1"/>
    <xf numFmtId="3" fontId="14" fillId="0" borderId="1" xfId="0" applyNumberFormat="1" applyFont="1" applyBorder="1" applyAlignment="1">
      <alignment vertical="center"/>
    </xf>
    <xf numFmtId="0" fontId="6" fillId="0" borderId="22"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12" xfId="0" applyFont="1" applyBorder="1" applyAlignment="1">
      <alignment horizontal="center" vertical="center" wrapText="1"/>
    </xf>
    <xf numFmtId="0" fontId="6" fillId="0" borderId="21" xfId="0" applyFont="1" applyBorder="1" applyAlignment="1">
      <alignment horizontal="center" vertical="center" wrapText="1"/>
    </xf>
    <xf numFmtId="4" fontId="27" fillId="0" borderId="37" xfId="0" applyNumberFormat="1" applyFont="1" applyBorder="1" applyAlignment="1">
      <alignment horizontal="center" vertical="center" wrapText="1"/>
    </xf>
    <xf numFmtId="0" fontId="3" fillId="0" borderId="11" xfId="0" applyFont="1" applyBorder="1" applyAlignment="1">
      <alignment horizontal="center" vertical="center" wrapText="1"/>
    </xf>
    <xf numFmtId="4" fontId="27" fillId="0" borderId="21" xfId="0" applyNumberFormat="1" applyFont="1" applyBorder="1" applyAlignment="1">
      <alignment horizontal="center" vertical="center" wrapText="1"/>
    </xf>
    <xf numFmtId="0" fontId="9" fillId="3" borderId="15" xfId="0" applyFont="1" applyFill="1" applyBorder="1" applyAlignment="1">
      <alignment horizontal="center" vertical="center" wrapText="1"/>
    </xf>
    <xf numFmtId="1" fontId="9" fillId="3" borderId="38" xfId="0" applyNumberFormat="1" applyFont="1" applyFill="1" applyBorder="1" applyAlignment="1">
      <alignment horizontal="center" vertical="center" wrapText="1"/>
    </xf>
    <xf numFmtId="1" fontId="26" fillId="3" borderId="39" xfId="0" applyNumberFormat="1" applyFont="1" applyFill="1" applyBorder="1" applyAlignment="1">
      <alignment horizontal="center" vertical="center" wrapText="1"/>
    </xf>
    <xf numFmtId="3" fontId="1" fillId="3" borderId="15" xfId="0" applyNumberFormat="1" applyFont="1" applyFill="1" applyBorder="1" applyAlignment="1">
      <alignment vertical="center"/>
    </xf>
    <xf numFmtId="4" fontId="1" fillId="3" borderId="15" xfId="0" applyNumberFormat="1" applyFont="1" applyFill="1" applyBorder="1" applyAlignment="1">
      <alignment vertical="center"/>
    </xf>
    <xf numFmtId="3" fontId="11" fillId="3" borderId="33" xfId="0" applyNumberFormat="1" applyFont="1" applyFill="1" applyBorder="1" applyAlignment="1">
      <alignment vertical="center"/>
    </xf>
    <xf numFmtId="3" fontId="11" fillId="3" borderId="26" xfId="0" applyNumberFormat="1" applyFont="1" applyFill="1" applyBorder="1" applyAlignment="1">
      <alignment vertical="center"/>
    </xf>
    <xf numFmtId="3" fontId="1" fillId="3" borderId="28" xfId="0" applyNumberFormat="1" applyFont="1" applyFill="1" applyBorder="1" applyAlignment="1">
      <alignment vertical="center"/>
    </xf>
    <xf numFmtId="4" fontId="1" fillId="3" borderId="28" xfId="0" applyNumberFormat="1" applyFont="1" applyFill="1" applyBorder="1" applyAlignment="1">
      <alignment vertical="center"/>
    </xf>
    <xf numFmtId="3" fontId="11" fillId="3" borderId="24" xfId="0" applyNumberFormat="1" applyFont="1" applyFill="1" applyBorder="1" applyAlignment="1">
      <alignment vertical="center"/>
    </xf>
    <xf numFmtId="3" fontId="1" fillId="3" borderId="38" xfId="0" applyNumberFormat="1" applyFont="1" applyFill="1" applyBorder="1" applyAlignment="1">
      <alignment vertical="center"/>
    </xf>
    <xf numFmtId="3" fontId="11" fillId="3" borderId="39" xfId="0" applyNumberFormat="1" applyFont="1" applyFill="1" applyBorder="1" applyAlignment="1">
      <alignment vertical="center"/>
    </xf>
    <xf numFmtId="3" fontId="11" fillId="3" borderId="14" xfId="0" applyNumberFormat="1" applyFont="1" applyFill="1" applyBorder="1" applyAlignment="1">
      <alignment vertical="center"/>
    </xf>
    <xf numFmtId="3" fontId="11" fillId="3" borderId="16" xfId="0" applyNumberFormat="1" applyFont="1" applyFill="1" applyBorder="1" applyAlignment="1">
      <alignment vertical="center"/>
    </xf>
    <xf numFmtId="3" fontId="11" fillId="3" borderId="27" xfId="0" applyNumberFormat="1" applyFont="1" applyFill="1" applyBorder="1" applyAlignment="1">
      <alignment vertical="center"/>
    </xf>
    <xf numFmtId="0" fontId="28" fillId="0" borderId="0" xfId="0" applyFont="1"/>
    <xf numFmtId="3" fontId="28" fillId="0" borderId="0" xfId="0" applyNumberFormat="1" applyFont="1"/>
    <xf numFmtId="3" fontId="11" fillId="3" borderId="15" xfId="0" applyNumberFormat="1" applyFont="1" applyFill="1" applyBorder="1" applyAlignment="1">
      <alignment vertical="center"/>
    </xf>
    <xf numFmtId="3" fontId="11" fillId="3" borderId="28" xfId="0" applyNumberFormat="1" applyFont="1" applyFill="1" applyBorder="1" applyAlignment="1">
      <alignment vertical="center"/>
    </xf>
    <xf numFmtId="1" fontId="28" fillId="0" borderId="26" xfId="0" applyNumberFormat="1" applyFont="1" applyBorder="1" applyAlignment="1">
      <alignment horizontal="center" vertical="center" wrapText="1"/>
    </xf>
    <xf numFmtId="9" fontId="7" fillId="0" borderId="6"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6" fillId="0" borderId="33" xfId="0" applyFont="1" applyBorder="1" applyAlignment="1">
      <alignment horizontal="center" vertical="center" wrapText="1"/>
    </xf>
    <xf numFmtId="0" fontId="25" fillId="0" borderId="1" xfId="0" applyFont="1" applyBorder="1" applyAlignment="1">
      <alignment vertical="top" wrapText="1"/>
    </xf>
    <xf numFmtId="0" fontId="9" fillId="0" borderId="1" xfId="0" applyFont="1" applyBorder="1" applyAlignment="1">
      <alignment vertical="top" wrapText="1"/>
    </xf>
    <xf numFmtId="0" fontId="25" fillId="2" borderId="1" xfId="0" applyFont="1" applyFill="1" applyBorder="1" applyAlignment="1">
      <alignment vertical="top" wrapText="1"/>
    </xf>
    <xf numFmtId="0" fontId="26" fillId="0" borderId="14" xfId="0" applyFont="1" applyBorder="1" applyAlignment="1">
      <alignment horizontal="center" vertical="center" wrapText="1"/>
    </xf>
    <xf numFmtId="0" fontId="22" fillId="0" borderId="30" xfId="0" applyFont="1" applyBorder="1" applyAlignment="1">
      <alignment horizontal="left" vertical="center"/>
    </xf>
    <xf numFmtId="3" fontId="2" fillId="2" borderId="1" xfId="0" applyNumberFormat="1" applyFont="1" applyFill="1" applyBorder="1" applyAlignment="1">
      <alignment vertical="center"/>
    </xf>
    <xf numFmtId="3" fontId="14" fillId="2" borderId="1" xfId="0" applyNumberFormat="1" applyFont="1" applyFill="1" applyBorder="1" applyAlignment="1">
      <alignment vertical="center"/>
    </xf>
    <xf numFmtId="9" fontId="9" fillId="3" borderId="12" xfId="0" applyNumberFormat="1" applyFont="1" applyFill="1" applyBorder="1" applyAlignment="1">
      <alignment horizontal="center" vertical="center" wrapText="1"/>
    </xf>
    <xf numFmtId="3" fontId="8" fillId="0" borderId="0" xfId="0" applyNumberFormat="1" applyFont="1" applyAlignment="1">
      <alignment horizontal="center" vertical="center"/>
    </xf>
    <xf numFmtId="0" fontId="9" fillId="3" borderId="11" xfId="0" applyFont="1" applyFill="1" applyBorder="1" applyAlignment="1">
      <alignment horizontal="center" vertical="center" wrapText="1"/>
    </xf>
    <xf numFmtId="0" fontId="9" fillId="3" borderId="38" xfId="0" applyFont="1" applyFill="1" applyBorder="1" applyAlignment="1">
      <alignment horizontal="center" vertical="center" wrapText="1"/>
    </xf>
    <xf numFmtId="3" fontId="14" fillId="0" borderId="1" xfId="0" applyNumberFormat="1" applyFont="1" applyFill="1" applyBorder="1" applyAlignment="1">
      <alignment vertical="center"/>
    </xf>
    <xf numFmtId="3" fontId="1" fillId="3" borderId="40" xfId="0" applyNumberFormat="1" applyFont="1" applyFill="1" applyBorder="1" applyAlignment="1">
      <alignment vertical="center"/>
    </xf>
    <xf numFmtId="3" fontId="7" fillId="0" borderId="1" xfId="0" applyNumberFormat="1" applyFont="1" applyBorder="1" applyAlignment="1">
      <alignment horizontal="center" vertical="center" wrapText="1"/>
    </xf>
    <xf numFmtId="3" fontId="28" fillId="0" borderId="26" xfId="0" applyNumberFormat="1" applyFont="1" applyBorder="1" applyAlignment="1">
      <alignment horizontal="center" vertical="center" wrapText="1"/>
    </xf>
    <xf numFmtId="3" fontId="9" fillId="0" borderId="30" xfId="0" applyNumberFormat="1" applyFont="1" applyBorder="1" applyAlignment="1">
      <alignment horizontal="right" vertical="center" wrapText="1"/>
    </xf>
    <xf numFmtId="3" fontId="9" fillId="0" borderId="31" xfId="0" applyNumberFormat="1" applyFont="1" applyBorder="1" applyAlignment="1">
      <alignment horizontal="right" vertical="center" wrapText="1"/>
    </xf>
    <xf numFmtId="3" fontId="9" fillId="3" borderId="14" xfId="0" applyNumberFormat="1" applyFont="1" applyFill="1" applyBorder="1" applyAlignment="1">
      <alignment horizontal="right" vertical="center" wrapText="1"/>
    </xf>
    <xf numFmtId="3" fontId="9" fillId="3" borderId="16" xfId="0" applyNumberFormat="1" applyFont="1" applyFill="1" applyBorder="1" applyAlignment="1">
      <alignment horizontal="right" vertical="center" wrapText="1"/>
    </xf>
    <xf numFmtId="3" fontId="9" fillId="3" borderId="27" xfId="0" applyNumberFormat="1" applyFont="1" applyFill="1" applyBorder="1" applyAlignment="1">
      <alignment horizontal="right" vertical="center" wrapText="1"/>
    </xf>
    <xf numFmtId="166" fontId="5" fillId="0" borderId="1" xfId="0" applyNumberFormat="1" applyFont="1" applyBorder="1" applyAlignment="1">
      <alignment horizontal="center" vertical="center" wrapText="1"/>
    </xf>
    <xf numFmtId="3" fontId="23" fillId="0" borderId="16" xfId="0" applyNumberFormat="1" applyFont="1" applyBorder="1" applyAlignment="1">
      <alignment horizontal="center" vertical="center" wrapText="1"/>
    </xf>
    <xf numFmtId="3" fontId="23" fillId="0" borderId="1" xfId="0" applyNumberFormat="1" applyFont="1" applyBorder="1" applyAlignment="1">
      <alignment horizontal="center" vertical="center" wrapText="1"/>
    </xf>
    <xf numFmtId="3" fontId="5" fillId="0" borderId="16" xfId="0" applyNumberFormat="1" applyFont="1" applyBorder="1" applyAlignment="1">
      <alignment horizontal="center" vertical="center" wrapText="1"/>
    </xf>
    <xf numFmtId="3" fontId="5" fillId="0" borderId="1" xfId="0" applyNumberFormat="1" applyFont="1" applyBorder="1" applyAlignment="1">
      <alignment horizontal="center" vertical="center" wrapText="1"/>
    </xf>
    <xf numFmtId="3" fontId="5" fillId="0" borderId="27" xfId="0" applyNumberFormat="1" applyFont="1" applyBorder="1" applyAlignment="1">
      <alignment horizontal="center" vertical="center" wrapText="1"/>
    </xf>
    <xf numFmtId="3" fontId="5" fillId="0" borderId="28" xfId="0" applyNumberFormat="1" applyFont="1" applyBorder="1" applyAlignment="1">
      <alignment horizontal="center" vertical="center" wrapText="1"/>
    </xf>
    <xf numFmtId="3" fontId="7" fillId="0" borderId="28" xfId="0" applyNumberFormat="1" applyFont="1" applyBorder="1" applyAlignment="1">
      <alignment horizontal="center" vertical="center" wrapText="1"/>
    </xf>
    <xf numFmtId="3" fontId="5" fillId="3" borderId="14" xfId="0" applyNumberFormat="1" applyFont="1" applyFill="1" applyBorder="1" applyAlignment="1">
      <alignment horizontal="center" vertical="center" wrapText="1"/>
    </xf>
    <xf numFmtId="3" fontId="25" fillId="3" borderId="15" xfId="0" applyNumberFormat="1" applyFont="1" applyFill="1" applyBorder="1" applyAlignment="1">
      <alignment horizontal="center" vertical="center" wrapText="1"/>
    </xf>
    <xf numFmtId="3" fontId="9" fillId="3" borderId="15" xfId="0" applyNumberFormat="1" applyFont="1" applyFill="1" applyBorder="1" applyAlignment="1">
      <alignment horizontal="center" vertical="center" wrapText="1"/>
    </xf>
    <xf numFmtId="3" fontId="5" fillId="3" borderId="16" xfId="0" applyNumberFormat="1" applyFont="1" applyFill="1" applyBorder="1" applyAlignment="1">
      <alignment horizontal="center" vertical="center" wrapText="1"/>
    </xf>
    <xf numFmtId="3" fontId="25" fillId="3" borderId="1" xfId="0" applyNumberFormat="1" applyFont="1" applyFill="1" applyBorder="1" applyAlignment="1">
      <alignment horizontal="center" vertical="center" wrapText="1"/>
    </xf>
    <xf numFmtId="3" fontId="9" fillId="3" borderId="1" xfId="0" applyNumberFormat="1" applyFont="1" applyFill="1" applyBorder="1" applyAlignment="1">
      <alignment horizontal="center" vertical="center" wrapText="1"/>
    </xf>
    <xf numFmtId="3" fontId="5" fillId="3" borderId="27" xfId="0" applyNumberFormat="1" applyFont="1" applyFill="1" applyBorder="1" applyAlignment="1">
      <alignment horizontal="center" vertical="center" wrapText="1"/>
    </xf>
    <xf numFmtId="3" fontId="25" fillId="3" borderId="28" xfId="0" applyNumberFormat="1" applyFont="1" applyFill="1" applyBorder="1" applyAlignment="1">
      <alignment horizontal="center" vertical="center" wrapText="1"/>
    </xf>
    <xf numFmtId="3" fontId="9" fillId="3" borderId="28" xfId="0" applyNumberFormat="1" applyFont="1" applyFill="1" applyBorder="1" applyAlignment="1">
      <alignment horizontal="center" vertical="center" wrapText="1"/>
    </xf>
    <xf numFmtId="3" fontId="7" fillId="0" borderId="26" xfId="0" applyNumberFormat="1" applyFont="1" applyBorder="1" applyAlignment="1">
      <alignment horizontal="center" vertical="center" wrapText="1"/>
    </xf>
    <xf numFmtId="3" fontId="28" fillId="0" borderId="29" xfId="0" applyNumberFormat="1" applyFont="1" applyBorder="1" applyAlignment="1">
      <alignment horizontal="center" vertical="center" wrapText="1"/>
    </xf>
    <xf numFmtId="3" fontId="26" fillId="3" borderId="33" xfId="0" applyNumberFormat="1" applyFont="1" applyFill="1" applyBorder="1" applyAlignment="1">
      <alignment horizontal="center" vertical="center" wrapText="1"/>
    </xf>
    <xf numFmtId="3" fontId="9" fillId="3" borderId="11" xfId="0" applyNumberFormat="1" applyFont="1" applyFill="1" applyBorder="1" applyAlignment="1">
      <alignment horizontal="center" vertical="center" wrapText="1"/>
    </xf>
    <xf numFmtId="3" fontId="26" fillId="3" borderId="24" xfId="0" applyNumberFormat="1" applyFont="1" applyFill="1" applyBorder="1" applyAlignment="1">
      <alignment horizontal="center" vertical="center" wrapText="1"/>
    </xf>
    <xf numFmtId="0" fontId="16" fillId="0" borderId="8" xfId="0" applyFont="1" applyBorder="1" applyAlignment="1">
      <alignment horizontal="center"/>
    </xf>
    <xf numFmtId="0" fontId="16" fillId="0" borderId="7" xfId="0" applyFont="1" applyBorder="1" applyAlignment="1">
      <alignment horizontal="center"/>
    </xf>
    <xf numFmtId="0" fontId="11" fillId="4" borderId="1" xfId="0" applyFont="1" applyFill="1" applyBorder="1" applyAlignment="1">
      <alignment horizontal="center" vertical="center" wrapText="1"/>
    </xf>
    <xf numFmtId="0" fontId="11" fillId="4" borderId="1" xfId="0" applyFont="1" applyFill="1" applyBorder="1" applyAlignment="1">
      <alignment horizontal="center" vertical="center"/>
    </xf>
    <xf numFmtId="0" fontId="8" fillId="4" borderId="9" xfId="0" applyFont="1" applyFill="1" applyBorder="1" applyAlignment="1">
      <alignment horizontal="center"/>
    </xf>
    <xf numFmtId="0" fontId="8" fillId="4" borderId="0" xfId="0" applyFont="1" applyFill="1" applyAlignment="1">
      <alignment horizontal="center"/>
    </xf>
    <xf numFmtId="0" fontId="11" fillId="4" borderId="4" xfId="0" applyFont="1" applyFill="1" applyBorder="1" applyAlignment="1">
      <alignment horizontal="center" vertical="center" wrapText="1"/>
    </xf>
    <xf numFmtId="0" fontId="11" fillId="4" borderId="10" xfId="0" applyFont="1" applyFill="1" applyBorder="1" applyAlignment="1">
      <alignment horizontal="center" vertical="center" wrapText="1"/>
    </xf>
    <xf numFmtId="0" fontId="11" fillId="4" borderId="11" xfId="0" applyFont="1" applyFill="1" applyBorder="1" applyAlignment="1">
      <alignment horizontal="center" vertical="center" wrapText="1"/>
    </xf>
    <xf numFmtId="0" fontId="3" fillId="0" borderId="0" xfId="0" applyFont="1" applyAlignment="1">
      <alignment horizontal="center" vertical="center" wrapText="1"/>
    </xf>
    <xf numFmtId="0" fontId="3" fillId="0" borderId="34"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36" xfId="0" applyFont="1" applyBorder="1" applyAlignment="1">
      <alignment horizontal="center" vertical="center" wrapText="1"/>
    </xf>
    <xf numFmtId="165" fontId="11" fillId="4" borderId="1"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04708-2859-46E9-B575-7EA4D41BC280}">
  <sheetPr>
    <pageSetUpPr fitToPage="1"/>
  </sheetPr>
  <dimension ref="B1:Q26"/>
  <sheetViews>
    <sheetView tabSelected="1" topLeftCell="A14" zoomScale="70" zoomScaleNormal="70" workbookViewId="0">
      <pane xSplit="1" topLeftCell="B1" activePane="topRight" state="frozen"/>
      <selection pane="topRight" activeCell="I25" sqref="I25"/>
    </sheetView>
  </sheetViews>
  <sheetFormatPr defaultColWidth="9.28515625" defaultRowHeight="15" x14ac:dyDescent="0.25"/>
  <cols>
    <col min="1" max="1" width="3.42578125" style="11" customWidth="1"/>
    <col min="2" max="2" width="18.28515625" style="11" customWidth="1"/>
    <col min="3" max="3" width="7.7109375" style="15" bestFit="1" customWidth="1"/>
    <col min="4" max="4" width="41.5703125" style="32" customWidth="1"/>
    <col min="5" max="9" width="17.5703125" style="49" customWidth="1"/>
    <col min="10" max="10" width="55.42578125" style="11" customWidth="1"/>
    <col min="11" max="11" width="24.42578125" style="11" customWidth="1"/>
    <col min="12" max="16384" width="9.28515625" style="11"/>
  </cols>
  <sheetData>
    <row r="1" spans="2:11" ht="13.9" x14ac:dyDescent="0.25">
      <c r="B1" s="11" t="s">
        <v>50</v>
      </c>
    </row>
    <row r="2" spans="2:11" x14ac:dyDescent="0.25">
      <c r="B2" s="11" t="s">
        <v>51</v>
      </c>
    </row>
    <row r="3" spans="2:11" ht="16.5" thickBot="1" x14ac:dyDescent="0.3">
      <c r="B3" s="216" t="s">
        <v>0</v>
      </c>
      <c r="C3" s="217"/>
      <c r="D3" s="217"/>
      <c r="E3" s="217"/>
      <c r="F3" s="217"/>
      <c r="G3" s="217"/>
      <c r="H3" s="217"/>
      <c r="I3" s="217"/>
      <c r="J3" s="217"/>
    </row>
    <row r="4" spans="2:11" ht="15.75" thickBot="1" x14ac:dyDescent="0.3">
      <c r="B4" s="212"/>
      <c r="C4" s="213"/>
      <c r="D4" s="213"/>
      <c r="E4" s="55">
        <v>2023</v>
      </c>
      <c r="F4" s="56">
        <v>2024</v>
      </c>
      <c r="G4" s="56">
        <v>2025</v>
      </c>
      <c r="H4" s="57">
        <v>2026</v>
      </c>
      <c r="I4" s="50" t="s">
        <v>1</v>
      </c>
      <c r="J4" s="29" t="s">
        <v>72</v>
      </c>
    </row>
    <row r="5" spans="2:11" ht="14.25" customHeight="1" x14ac:dyDescent="0.25">
      <c r="B5" s="22" t="s">
        <v>2</v>
      </c>
      <c r="C5" s="16">
        <v>1</v>
      </c>
      <c r="D5" s="34" t="s">
        <v>3</v>
      </c>
      <c r="E5" s="51"/>
      <c r="F5" s="59">
        <v>96850</v>
      </c>
      <c r="G5" s="59">
        <v>96850</v>
      </c>
      <c r="H5" s="59"/>
      <c r="I5" s="59">
        <f>SUM(E5:H5)</f>
        <v>193700</v>
      </c>
      <c r="J5" s="23" t="s">
        <v>36</v>
      </c>
    </row>
    <row r="6" spans="2:11" ht="32.25" customHeight="1" x14ac:dyDescent="0.25">
      <c r="B6" s="215" t="s">
        <v>4</v>
      </c>
      <c r="C6" s="45">
        <v>2</v>
      </c>
      <c r="D6" s="46" t="s">
        <v>5</v>
      </c>
      <c r="E6" s="58">
        <f>SUM(E7:E9)</f>
        <v>50000</v>
      </c>
      <c r="F6" s="58">
        <f>SUM(F7:F9)</f>
        <v>940000</v>
      </c>
      <c r="G6" s="58">
        <f>SUM(G7:G9)</f>
        <v>460000</v>
      </c>
      <c r="H6" s="58">
        <f>SUM(H7:H9)</f>
        <v>30000</v>
      </c>
      <c r="I6" s="58">
        <f>SUM(I7:I9)</f>
        <v>1480000</v>
      </c>
      <c r="J6" s="40" t="s">
        <v>37</v>
      </c>
    </row>
    <row r="7" spans="2:11" ht="94.5" customHeight="1" x14ac:dyDescent="0.25">
      <c r="B7" s="215"/>
      <c r="C7" s="38" t="s">
        <v>52</v>
      </c>
      <c r="D7" s="35" t="s">
        <v>6</v>
      </c>
      <c r="E7" s="59">
        <v>50000</v>
      </c>
      <c r="F7" s="59">
        <v>850000</v>
      </c>
      <c r="G7" s="59">
        <v>350000</v>
      </c>
      <c r="H7" s="59"/>
      <c r="I7" s="59">
        <f t="shared" ref="I7:I22" si="0">SUM(E7:H7)</f>
        <v>1250000</v>
      </c>
      <c r="J7" s="33" t="s">
        <v>38</v>
      </c>
    </row>
    <row r="8" spans="2:11" ht="38.25" customHeight="1" x14ac:dyDescent="0.25">
      <c r="B8" s="215"/>
      <c r="C8" s="16" t="s">
        <v>53</v>
      </c>
      <c r="D8" s="35" t="s">
        <v>7</v>
      </c>
      <c r="E8" s="59"/>
      <c r="F8" s="59">
        <v>60000</v>
      </c>
      <c r="G8" s="59">
        <v>70000</v>
      </c>
      <c r="H8" s="59">
        <v>20000</v>
      </c>
      <c r="I8" s="59">
        <f t="shared" si="0"/>
        <v>150000</v>
      </c>
      <c r="J8" s="33" t="s">
        <v>39</v>
      </c>
    </row>
    <row r="9" spans="2:11" ht="81" customHeight="1" x14ac:dyDescent="0.25">
      <c r="B9" s="215"/>
      <c r="C9" s="16" t="s">
        <v>54</v>
      </c>
      <c r="D9" s="34" t="s">
        <v>8</v>
      </c>
      <c r="E9" s="59"/>
      <c r="F9" s="59">
        <v>30000</v>
      </c>
      <c r="G9" s="59">
        <v>40000</v>
      </c>
      <c r="H9" s="59">
        <v>10000</v>
      </c>
      <c r="I9" s="59">
        <f t="shared" si="0"/>
        <v>80000</v>
      </c>
      <c r="J9" s="33" t="s">
        <v>40</v>
      </c>
    </row>
    <row r="10" spans="2:11" ht="54" customHeight="1" x14ac:dyDescent="0.25">
      <c r="B10" s="215"/>
      <c r="C10" s="45">
        <v>3</v>
      </c>
      <c r="D10" s="46" t="s">
        <v>9</v>
      </c>
      <c r="E10" s="58">
        <f>SUM(E11:E14)</f>
        <v>25000</v>
      </c>
      <c r="F10" s="58">
        <f>SUM(F11:F14)</f>
        <v>550000</v>
      </c>
      <c r="G10" s="58">
        <f>SUM(G11:G14)</f>
        <v>1355000</v>
      </c>
      <c r="H10" s="58">
        <f>SUM(H11:H14)</f>
        <v>0</v>
      </c>
      <c r="I10" s="58">
        <f>SUM(I11:I14)</f>
        <v>1930000</v>
      </c>
      <c r="J10" s="41" t="s">
        <v>41</v>
      </c>
    </row>
    <row r="11" spans="2:11" ht="60" x14ac:dyDescent="0.25">
      <c r="B11" s="215"/>
      <c r="C11" s="16" t="s">
        <v>55</v>
      </c>
      <c r="D11" s="35" t="s">
        <v>10</v>
      </c>
      <c r="E11" s="59">
        <v>15000</v>
      </c>
      <c r="F11" s="59">
        <v>370000</v>
      </c>
      <c r="G11" s="59">
        <v>690000</v>
      </c>
      <c r="H11" s="59"/>
      <c r="I11" s="59">
        <f>SUM(E11:H11)</f>
        <v>1075000</v>
      </c>
      <c r="J11" s="33" t="s">
        <v>42</v>
      </c>
      <c r="K11" s="13"/>
    </row>
    <row r="12" spans="2:11" ht="45" x14ac:dyDescent="0.25">
      <c r="B12" s="215"/>
      <c r="C12" s="16" t="s">
        <v>56</v>
      </c>
      <c r="D12" s="35" t="s">
        <v>11</v>
      </c>
      <c r="E12" s="60"/>
      <c r="F12" s="60"/>
      <c r="G12" s="59">
        <v>15000</v>
      </c>
      <c r="H12" s="60"/>
      <c r="I12" s="59">
        <f>SUM(E12:H12)</f>
        <v>15000</v>
      </c>
      <c r="J12" s="24"/>
    </row>
    <row r="13" spans="2:11" ht="134.25" customHeight="1" x14ac:dyDescent="0.25">
      <c r="B13" s="215"/>
      <c r="C13" s="16" t="s">
        <v>57</v>
      </c>
      <c r="D13" s="35" t="s">
        <v>12</v>
      </c>
      <c r="E13" s="60"/>
      <c r="F13" s="60"/>
      <c r="G13" s="60">
        <v>400000</v>
      </c>
      <c r="H13" s="60"/>
      <c r="I13" s="59">
        <f t="shared" si="0"/>
        <v>400000</v>
      </c>
      <c r="J13" s="33" t="s">
        <v>43</v>
      </c>
    </row>
    <row r="14" spans="2:11" ht="90" x14ac:dyDescent="0.25">
      <c r="B14" s="215"/>
      <c r="C14" s="16" t="s">
        <v>58</v>
      </c>
      <c r="D14" s="35" t="s">
        <v>13</v>
      </c>
      <c r="E14" s="60">
        <v>10000</v>
      </c>
      <c r="F14" s="60">
        <v>180000</v>
      </c>
      <c r="G14" s="60">
        <v>250000</v>
      </c>
      <c r="H14" s="60"/>
      <c r="I14" s="59">
        <f t="shared" si="0"/>
        <v>440000</v>
      </c>
      <c r="J14" s="33" t="s">
        <v>44</v>
      </c>
    </row>
    <row r="15" spans="2:11" x14ac:dyDescent="0.25">
      <c r="B15" s="218" t="s">
        <v>14</v>
      </c>
      <c r="C15" s="45" t="s">
        <v>59</v>
      </c>
      <c r="D15" s="46" t="s">
        <v>14</v>
      </c>
      <c r="E15" s="61">
        <f>SUM(E16:E17)</f>
        <v>0</v>
      </c>
      <c r="F15" s="61">
        <f>SUM(F16:F17)</f>
        <v>105000</v>
      </c>
      <c r="G15" s="61">
        <f>SUM(G16:G17)</f>
        <v>350000</v>
      </c>
      <c r="H15" s="61">
        <f>SUM(H16:H17)</f>
        <v>0</v>
      </c>
      <c r="I15" s="58">
        <f>SUM(I16:I17)</f>
        <v>455000</v>
      </c>
      <c r="J15" s="42"/>
    </row>
    <row r="16" spans="2:11" ht="98.25" customHeight="1" x14ac:dyDescent="0.25">
      <c r="B16" s="219"/>
      <c r="C16" s="16" t="s">
        <v>60</v>
      </c>
      <c r="D16" s="35" t="s">
        <v>46</v>
      </c>
      <c r="E16" s="59"/>
      <c r="F16" s="59">
        <v>90000</v>
      </c>
      <c r="G16" s="59">
        <v>300000</v>
      </c>
      <c r="H16" s="59"/>
      <c r="I16" s="59">
        <f t="shared" si="0"/>
        <v>390000</v>
      </c>
      <c r="J16" s="37" t="s">
        <v>36</v>
      </c>
    </row>
    <row r="17" spans="2:17" x14ac:dyDescent="0.25">
      <c r="B17" s="220"/>
      <c r="C17" s="38" t="s">
        <v>62</v>
      </c>
      <c r="D17" s="35" t="s">
        <v>71</v>
      </c>
      <c r="E17" s="60"/>
      <c r="F17" s="60">
        <v>15000</v>
      </c>
      <c r="G17" s="60">
        <v>50000</v>
      </c>
      <c r="H17" s="60"/>
      <c r="I17" s="59">
        <f t="shared" si="0"/>
        <v>65000</v>
      </c>
      <c r="J17" s="36" t="s">
        <v>36</v>
      </c>
    </row>
    <row r="18" spans="2:17" ht="13.9" x14ac:dyDescent="0.25">
      <c r="B18" s="39"/>
      <c r="C18" s="45" t="s">
        <v>61</v>
      </c>
      <c r="D18" s="46" t="s">
        <v>15</v>
      </c>
      <c r="E18" s="61">
        <f>SUM(E19:E22)</f>
        <v>73956.935347499995</v>
      </c>
      <c r="F18" s="61">
        <f t="shared" ref="F18:H18" si="1">SUM(F19:F22)</f>
        <v>372567.3697199999</v>
      </c>
      <c r="G18" s="61">
        <f t="shared" si="1"/>
        <v>835811.33185333305</v>
      </c>
      <c r="H18" s="61">
        <f t="shared" si="1"/>
        <v>54849.02968</v>
      </c>
      <c r="I18" s="61">
        <f>SUM(I19:I22)</f>
        <v>1337184.6666008329</v>
      </c>
      <c r="J18" s="44"/>
    </row>
    <row r="19" spans="2:17" x14ac:dyDescent="0.25">
      <c r="B19" s="214" t="s">
        <v>15</v>
      </c>
      <c r="C19" s="16" t="s">
        <v>63</v>
      </c>
      <c r="D19" s="34" t="s">
        <v>69</v>
      </c>
      <c r="E19" s="59">
        <f>Atalgojums!N24</f>
        <v>73956.935347499995</v>
      </c>
      <c r="F19" s="59">
        <f>Atalgojums!X24</f>
        <v>372567.3697199999</v>
      </c>
      <c r="G19" s="59">
        <f>Atalgojums!AH24</f>
        <v>617161.33185333305</v>
      </c>
      <c r="H19" s="59">
        <f>Atalgojums!AQ24</f>
        <v>54849.02968</v>
      </c>
      <c r="I19" s="59">
        <f t="shared" si="0"/>
        <v>1118534.6666008329</v>
      </c>
      <c r="J19" s="26" t="s">
        <v>45</v>
      </c>
    </row>
    <row r="20" spans="2:17" ht="57" customHeight="1" x14ac:dyDescent="0.25">
      <c r="B20" s="214"/>
      <c r="C20" s="16" t="s">
        <v>64</v>
      </c>
      <c r="D20" s="34" t="s">
        <v>16</v>
      </c>
      <c r="E20" s="59"/>
      <c r="F20" s="59"/>
      <c r="G20" s="59">
        <f>70*7*210</f>
        <v>102900</v>
      </c>
      <c r="H20" s="59"/>
      <c r="I20" s="59">
        <f t="shared" si="0"/>
        <v>102900</v>
      </c>
      <c r="J20" s="34" t="s">
        <v>47</v>
      </c>
    </row>
    <row r="21" spans="2:17" ht="30" x14ac:dyDescent="0.25">
      <c r="B21" s="214"/>
      <c r="C21" s="16" t="s">
        <v>65</v>
      </c>
      <c r="D21" s="34" t="s">
        <v>17</v>
      </c>
      <c r="E21" s="59"/>
      <c r="F21" s="59"/>
      <c r="G21" s="59">
        <v>30000</v>
      </c>
      <c r="H21" s="59"/>
      <c r="I21" s="59">
        <f t="shared" si="0"/>
        <v>30000</v>
      </c>
      <c r="J21" s="33" t="s">
        <v>48</v>
      </c>
    </row>
    <row r="22" spans="2:17" ht="30" x14ac:dyDescent="0.25">
      <c r="B22" s="214"/>
      <c r="C22" s="38" t="s">
        <v>66</v>
      </c>
      <c r="D22" s="34" t="s">
        <v>18</v>
      </c>
      <c r="E22" s="59"/>
      <c r="F22" s="59"/>
      <c r="G22" s="59">
        <f>1750*7*7</f>
        <v>85750</v>
      </c>
      <c r="H22" s="59"/>
      <c r="I22" s="59">
        <f t="shared" si="0"/>
        <v>85750</v>
      </c>
      <c r="J22" s="25" t="s">
        <v>49</v>
      </c>
    </row>
    <row r="23" spans="2:17" ht="28.5" x14ac:dyDescent="0.25">
      <c r="B23" s="22" t="s">
        <v>67</v>
      </c>
      <c r="C23" s="43"/>
      <c r="D23" s="47"/>
      <c r="E23" s="58">
        <f>E18+E15+E10+E6+E5</f>
        <v>148956.9353475</v>
      </c>
      <c r="F23" s="58">
        <f>F18+F15+F10+F6+F5</f>
        <v>2064417.3697199998</v>
      </c>
      <c r="G23" s="58">
        <f>G18+G15+G10+G6+G5</f>
        <v>3097661.3318533329</v>
      </c>
      <c r="H23" s="58">
        <f>H18+H15+H10+H6+H5</f>
        <v>84849.029680000007</v>
      </c>
      <c r="I23" s="58">
        <f>I18+I15+I10+I6+I5</f>
        <v>5395884.6666008327</v>
      </c>
      <c r="J23" s="48"/>
    </row>
    <row r="24" spans="2:17" ht="29.25" x14ac:dyDescent="0.25">
      <c r="B24" s="22" t="s">
        <v>19</v>
      </c>
      <c r="C24" s="53" t="s">
        <v>68</v>
      </c>
      <c r="D24" s="54" t="s">
        <v>70</v>
      </c>
      <c r="E24" s="62"/>
      <c r="F24" s="63">
        <f>(F5+F6+F10+F15+F18)*0.05</f>
        <v>103220.86848599999</v>
      </c>
      <c r="G24" s="63">
        <f t="shared" ref="G24" si="2">(G5+G6+G10+G15+G18)*0.05</f>
        <v>154883.06659266664</v>
      </c>
      <c r="H24" s="63"/>
      <c r="I24" s="63">
        <f>F24+G24</f>
        <v>258103.93507866663</v>
      </c>
      <c r="J24" s="25"/>
      <c r="M24" s="12"/>
      <c r="N24" s="12"/>
      <c r="O24" s="12"/>
      <c r="P24" s="12"/>
      <c r="Q24" s="12"/>
    </row>
    <row r="25" spans="2:17" x14ac:dyDescent="0.25">
      <c r="B25" s="27"/>
      <c r="C25" s="28"/>
      <c r="D25" s="31" t="s">
        <v>20</v>
      </c>
      <c r="E25" s="225">
        <f>E6+E10+E15+E18+E24</f>
        <v>148956.9353475</v>
      </c>
      <c r="F25" s="225">
        <f>F23+F24</f>
        <v>2167638.2382060001</v>
      </c>
      <c r="G25" s="225">
        <f>G23+G24</f>
        <v>3252544.3984459997</v>
      </c>
      <c r="H25" s="225">
        <f>H23+H24</f>
        <v>84849.029680000007</v>
      </c>
      <c r="I25" s="64">
        <f>I23+I24</f>
        <v>5653988.6016794993</v>
      </c>
      <c r="J25" s="27"/>
    </row>
    <row r="26" spans="2:17" ht="13.9" x14ac:dyDescent="0.25">
      <c r="I26" s="52"/>
      <c r="J26" s="13"/>
      <c r="K26" s="17"/>
    </row>
  </sheetData>
  <mergeCells count="5">
    <mergeCell ref="B4:D4"/>
    <mergeCell ref="B19:B22"/>
    <mergeCell ref="B6:B14"/>
    <mergeCell ref="B3:J3"/>
    <mergeCell ref="B15:B17"/>
  </mergeCells>
  <pageMargins left="0.25" right="0.25" top="0.75" bottom="0.75" header="0.3" footer="0.3"/>
  <pageSetup paperSize="9" scale="6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3817A-812D-49AF-8179-80F1F169ACD7}">
  <sheetPr>
    <pageSetUpPr fitToPage="1"/>
  </sheetPr>
  <dimension ref="A1:AV31"/>
  <sheetViews>
    <sheetView zoomScale="70" zoomScaleNormal="70" workbookViewId="0">
      <pane ySplit="3" topLeftCell="A4" activePane="bottomLeft" state="frozen"/>
      <selection pane="bottomLeft" activeCell="H12" sqref="H12"/>
    </sheetView>
  </sheetViews>
  <sheetFormatPr defaultColWidth="9.28515625" defaultRowHeight="15.75" x14ac:dyDescent="0.25"/>
  <cols>
    <col min="1" max="1" width="47.42578125" style="1" customWidth="1"/>
    <col min="2" max="2" width="7.7109375" style="74" customWidth="1"/>
    <col min="3" max="3" width="7.7109375" style="1" customWidth="1"/>
    <col min="4" max="4" width="9.5703125" style="1" customWidth="1"/>
    <col min="5" max="5" width="8.5703125" style="1" customWidth="1"/>
    <col min="6" max="6" width="10.5703125" style="1" customWidth="1"/>
    <col min="7" max="7" width="14" style="98" customWidth="1"/>
    <col min="8" max="8" width="10.42578125" style="98" customWidth="1"/>
    <col min="9" max="9" width="9.7109375" style="1" customWidth="1"/>
    <col min="10" max="10" width="13.28515625" style="1" customWidth="1"/>
    <col min="11" max="11" width="13.5703125" style="1" customWidth="1"/>
    <col min="12" max="12" width="15.140625" style="1" customWidth="1"/>
    <col min="13" max="13" width="12.42578125" style="1" customWidth="1"/>
    <col min="14" max="14" width="11.42578125" style="1" customWidth="1"/>
    <col min="15" max="15" width="11.28515625" style="1" customWidth="1"/>
    <col min="16" max="16" width="9.28515625" style="1" customWidth="1"/>
    <col min="17" max="17" width="12.5703125" style="1" customWidth="1"/>
    <col min="18" max="18" width="11.28515625" style="1" customWidth="1"/>
    <col min="19" max="19" width="13" style="1" customWidth="1"/>
    <col min="20" max="21" width="12.7109375" style="1" customWidth="1"/>
    <col min="22" max="22" width="13.7109375" style="1" customWidth="1"/>
    <col min="23" max="23" width="9.5703125" style="1" customWidth="1"/>
    <col min="24" max="24" width="12.5703125" style="1" customWidth="1"/>
    <col min="25" max="25" width="12.85546875" style="1" customWidth="1"/>
    <col min="26" max="26" width="12.28515625" style="1" customWidth="1"/>
    <col min="27" max="27" width="15" style="1" customWidth="1"/>
    <col min="28" max="29" width="10.7109375" style="1" customWidth="1"/>
    <col min="30" max="30" width="12.7109375" style="1" customWidth="1"/>
    <col min="31" max="31" width="11.7109375" style="1" customWidth="1"/>
    <col min="32" max="33" width="13.7109375" style="1" customWidth="1"/>
    <col min="34" max="37" width="12.5703125" style="1" customWidth="1"/>
    <col min="38" max="38" width="13.28515625" style="1" customWidth="1"/>
    <col min="39" max="40" width="15" style="1" customWidth="1"/>
    <col min="41" max="42" width="13.28515625" style="1" customWidth="1"/>
    <col min="43" max="43" width="13.7109375" style="1" customWidth="1"/>
    <col min="44" max="44" width="16.42578125" style="7" customWidth="1"/>
    <col min="45" max="46" width="12.5703125" style="1" customWidth="1"/>
    <col min="47" max="16384" width="9.28515625" style="1"/>
  </cols>
  <sheetData>
    <row r="1" spans="1:48" ht="29.1" customHeight="1" thickBot="1" x14ac:dyDescent="0.3">
      <c r="A1" s="221" t="s">
        <v>21</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row>
    <row r="2" spans="1:48" ht="26.1" customHeight="1" thickBot="1" x14ac:dyDescent="0.3">
      <c r="A2" s="2"/>
      <c r="B2" s="2"/>
      <c r="C2" s="2"/>
      <c r="D2" s="2"/>
      <c r="E2" s="2"/>
      <c r="F2" s="2"/>
      <c r="G2" s="222">
        <v>2023</v>
      </c>
      <c r="H2" s="223"/>
      <c r="I2" s="223"/>
      <c r="J2" s="223"/>
      <c r="K2" s="223"/>
      <c r="L2" s="223"/>
      <c r="M2" s="223"/>
      <c r="N2" s="224"/>
      <c r="O2" s="222">
        <v>2024</v>
      </c>
      <c r="P2" s="223"/>
      <c r="Q2" s="223"/>
      <c r="R2" s="223"/>
      <c r="S2" s="223"/>
      <c r="T2" s="223"/>
      <c r="U2" s="223"/>
      <c r="V2" s="223"/>
      <c r="W2" s="223"/>
      <c r="X2" s="223"/>
      <c r="Y2" s="222">
        <v>2025</v>
      </c>
      <c r="Z2" s="223"/>
      <c r="AA2" s="223"/>
      <c r="AB2" s="223"/>
      <c r="AC2" s="223"/>
      <c r="AD2" s="223"/>
      <c r="AE2" s="223"/>
      <c r="AF2" s="223"/>
      <c r="AG2" s="223"/>
      <c r="AH2" s="224"/>
      <c r="AI2" s="222">
        <v>2026</v>
      </c>
      <c r="AJ2" s="223"/>
      <c r="AK2" s="223"/>
      <c r="AL2" s="223"/>
      <c r="AM2" s="223"/>
      <c r="AN2" s="223"/>
      <c r="AO2" s="223"/>
      <c r="AP2" s="223"/>
      <c r="AQ2" s="223"/>
    </row>
    <row r="3" spans="1:48" ht="142.5" x14ac:dyDescent="0.25">
      <c r="A3" s="3" t="s">
        <v>22</v>
      </c>
      <c r="B3" s="141" t="s">
        <v>23</v>
      </c>
      <c r="C3" s="141" t="s">
        <v>74</v>
      </c>
      <c r="D3" s="141" t="s">
        <v>75</v>
      </c>
      <c r="E3" s="141" t="s">
        <v>84</v>
      </c>
      <c r="F3" s="142" t="s">
        <v>85</v>
      </c>
      <c r="G3" s="173" t="s">
        <v>24</v>
      </c>
      <c r="H3" s="168" t="s">
        <v>25</v>
      </c>
      <c r="I3" s="82" t="s">
        <v>86</v>
      </c>
      <c r="J3" s="82" t="s">
        <v>107</v>
      </c>
      <c r="K3" s="140" t="s">
        <v>106</v>
      </c>
      <c r="L3" s="140" t="s">
        <v>97</v>
      </c>
      <c r="M3" s="82" t="s">
        <v>87</v>
      </c>
      <c r="N3" s="169" t="s">
        <v>26</v>
      </c>
      <c r="O3" s="144" t="s">
        <v>111</v>
      </c>
      <c r="P3" s="145" t="s">
        <v>24</v>
      </c>
      <c r="Q3" s="133" t="s">
        <v>89</v>
      </c>
      <c r="R3" s="140" t="s">
        <v>90</v>
      </c>
      <c r="S3" s="140" t="s">
        <v>110</v>
      </c>
      <c r="T3" s="140" t="s">
        <v>107</v>
      </c>
      <c r="U3" s="140" t="s">
        <v>106</v>
      </c>
      <c r="V3" s="133" t="s">
        <v>97</v>
      </c>
      <c r="W3" s="133" t="s">
        <v>82</v>
      </c>
      <c r="X3" s="135" t="s">
        <v>88</v>
      </c>
      <c r="Y3" s="146" t="s">
        <v>112</v>
      </c>
      <c r="Z3" s="140" t="s">
        <v>92</v>
      </c>
      <c r="AA3" s="140" t="s">
        <v>24</v>
      </c>
      <c r="AB3" s="140" t="s">
        <v>91</v>
      </c>
      <c r="AC3" s="140" t="s">
        <v>108</v>
      </c>
      <c r="AD3" s="140" t="s">
        <v>107</v>
      </c>
      <c r="AE3" s="133" t="s">
        <v>106</v>
      </c>
      <c r="AF3" s="133" t="s">
        <v>97</v>
      </c>
      <c r="AG3" s="133" t="s">
        <v>83</v>
      </c>
      <c r="AH3" s="134" t="s">
        <v>96</v>
      </c>
      <c r="AI3" s="143" t="s">
        <v>113</v>
      </c>
      <c r="AJ3" s="140" t="s">
        <v>93</v>
      </c>
      <c r="AK3" s="140" t="s">
        <v>24</v>
      </c>
      <c r="AL3" s="133" t="s">
        <v>95</v>
      </c>
      <c r="AM3" s="140" t="s">
        <v>107</v>
      </c>
      <c r="AN3" s="133" t="s">
        <v>106</v>
      </c>
      <c r="AO3" s="133" t="s">
        <v>97</v>
      </c>
      <c r="AP3" s="133" t="s">
        <v>94</v>
      </c>
      <c r="AQ3" s="134" t="s">
        <v>27</v>
      </c>
      <c r="AR3" s="92" t="s">
        <v>28</v>
      </c>
    </row>
    <row r="4" spans="1:48" x14ac:dyDescent="0.25">
      <c r="A4" s="5"/>
      <c r="B4" s="73"/>
      <c r="C4" s="6"/>
      <c r="D4" s="6"/>
      <c r="E4" s="6"/>
      <c r="F4" s="6"/>
      <c r="G4" s="174"/>
      <c r="H4" s="111"/>
      <c r="I4" s="6"/>
      <c r="J4" s="6"/>
      <c r="K4" s="6"/>
      <c r="L4" s="6"/>
      <c r="M4" s="6"/>
      <c r="N4" s="112"/>
      <c r="O4" s="136"/>
      <c r="P4" s="137"/>
      <c r="Q4" s="137"/>
      <c r="X4" s="83"/>
      <c r="Y4" s="84"/>
      <c r="Z4" s="138"/>
      <c r="AH4" s="122"/>
      <c r="AI4" s="84"/>
      <c r="AJ4" s="83"/>
      <c r="AK4" s="102"/>
      <c r="AN4" s="107"/>
      <c r="AQ4" s="122"/>
      <c r="AR4" s="93"/>
    </row>
    <row r="5" spans="1:48" ht="33" customHeight="1" x14ac:dyDescent="0.25">
      <c r="A5" s="21" t="s">
        <v>98</v>
      </c>
      <c r="B5" s="71">
        <v>17</v>
      </c>
      <c r="C5" s="75" t="s">
        <v>81</v>
      </c>
      <c r="D5" s="71" t="s">
        <v>80</v>
      </c>
      <c r="E5" s="71"/>
      <c r="F5" s="108">
        <v>0.3</v>
      </c>
      <c r="G5" s="191"/>
      <c r="H5" s="192"/>
      <c r="I5" s="183"/>
      <c r="J5" s="97"/>
      <c r="K5" s="97"/>
      <c r="L5" s="97"/>
      <c r="M5" s="97"/>
      <c r="N5" s="113"/>
      <c r="O5" s="185">
        <v>6346</v>
      </c>
      <c r="P5" s="67">
        <f>O5*0.3</f>
        <v>1903.8</v>
      </c>
      <c r="Q5" s="67">
        <v>12</v>
      </c>
      <c r="R5" s="88">
        <f>P5*Q5</f>
        <v>22845.599999999999</v>
      </c>
      <c r="S5" s="88"/>
      <c r="T5" s="85"/>
      <c r="U5" s="85"/>
      <c r="V5" s="67"/>
      <c r="W5" s="67">
        <f>R5*0.2359</f>
        <v>5389.2770399999999</v>
      </c>
      <c r="X5" s="91">
        <f>SUM(R5:W5)</f>
        <v>28234.877039999999</v>
      </c>
      <c r="Y5" s="123">
        <v>6726</v>
      </c>
      <c r="Z5" s="67">
        <v>12</v>
      </c>
      <c r="AA5" s="88">
        <f>Y5*F5</f>
        <v>2017.8</v>
      </c>
      <c r="AB5" s="88">
        <f>AA5*Z5</f>
        <v>24213.599999999999</v>
      </c>
      <c r="AC5" s="88"/>
      <c r="AD5" s="67"/>
      <c r="AE5" s="67"/>
      <c r="AF5" s="67"/>
      <c r="AG5" s="67">
        <f>AB5*0.2359</f>
        <v>5711.9882399999997</v>
      </c>
      <c r="AH5" s="116">
        <f>SUM(AB5:AG5)</f>
        <v>29925.588239999997</v>
      </c>
      <c r="AI5" s="123"/>
      <c r="AJ5" s="65"/>
      <c r="AK5" s="104"/>
      <c r="AL5" s="19"/>
      <c r="AM5" s="67"/>
      <c r="AN5" s="104"/>
      <c r="AO5" s="68"/>
      <c r="AP5" s="68"/>
      <c r="AQ5" s="116"/>
      <c r="AR5" s="94">
        <f>N5+X5+AH5+AQ5</f>
        <v>58160.465279999997</v>
      </c>
    </row>
    <row r="6" spans="1:48" ht="47.25" x14ac:dyDescent="0.25">
      <c r="A6" s="170" t="s">
        <v>99</v>
      </c>
      <c r="B6" s="71">
        <v>13</v>
      </c>
      <c r="C6" s="71" t="s">
        <v>76</v>
      </c>
      <c r="D6" s="71" t="s">
        <v>77</v>
      </c>
      <c r="E6" s="71">
        <v>1</v>
      </c>
      <c r="F6" s="109"/>
      <c r="G6" s="193">
        <v>3105</v>
      </c>
      <c r="H6" s="190">
        <v>9.5</v>
      </c>
      <c r="I6" s="183">
        <f>G6*H6</f>
        <v>29497.5</v>
      </c>
      <c r="J6" s="183">
        <f>I6*10%</f>
        <v>2949.75</v>
      </c>
      <c r="K6" s="183">
        <f>I6*5%</f>
        <v>1474.875</v>
      </c>
      <c r="L6" s="183">
        <f>I6*5%</f>
        <v>1474.875</v>
      </c>
      <c r="M6" s="183">
        <f>(I6+J6+K6)*0.2359</f>
        <v>8002.2292875000003</v>
      </c>
      <c r="N6" s="184">
        <f>SUM(I6:M6)</f>
        <v>43399.229287499998</v>
      </c>
      <c r="O6" s="185">
        <v>4081</v>
      </c>
      <c r="P6" s="67">
        <f>O6</f>
        <v>4081</v>
      </c>
      <c r="Q6" s="67">
        <v>12</v>
      </c>
      <c r="R6" s="90">
        <f>P6*Q6</f>
        <v>48972</v>
      </c>
      <c r="S6" s="90"/>
      <c r="T6" s="99">
        <f>R6*10%</f>
        <v>4897.2</v>
      </c>
      <c r="U6" s="99">
        <f>R6*5%</f>
        <v>2448.6</v>
      </c>
      <c r="V6" s="175">
        <f>R6*5%</f>
        <v>2448.6</v>
      </c>
      <c r="W6" s="67">
        <f>(R6+T6+U6)*0.2359</f>
        <v>13285.369019999998</v>
      </c>
      <c r="X6" s="91">
        <f>SUM(R6:W6)</f>
        <v>72051.769019999992</v>
      </c>
      <c r="Y6" s="123">
        <v>4326</v>
      </c>
      <c r="Z6" s="67">
        <v>12</v>
      </c>
      <c r="AA6" s="90">
        <f>Y6</f>
        <v>4326</v>
      </c>
      <c r="AB6" s="88">
        <f t="shared" ref="AB6:AB11" si="0">AA6*Z6</f>
        <v>51912</v>
      </c>
      <c r="AC6" s="88"/>
      <c r="AD6" s="175">
        <f>AB6*10%</f>
        <v>5191.2000000000007</v>
      </c>
      <c r="AE6" s="175">
        <f>AB6*5%</f>
        <v>2595.6000000000004</v>
      </c>
      <c r="AF6" s="175">
        <f>AB6*5%</f>
        <v>2595.6000000000004</v>
      </c>
      <c r="AG6" s="67">
        <f>(AB6+AD6+AE6)*0.2359</f>
        <v>14082.946919999998</v>
      </c>
      <c r="AH6" s="116">
        <f>SUM(AB6:AG6)</f>
        <v>76377.346919999996</v>
      </c>
      <c r="AI6" s="123">
        <v>4517</v>
      </c>
      <c r="AJ6" s="67">
        <v>4</v>
      </c>
      <c r="AK6" s="139">
        <f>AI6</f>
        <v>4517</v>
      </c>
      <c r="AL6" s="139">
        <f>AJ6*AK6</f>
        <v>18068</v>
      </c>
      <c r="AM6" s="176">
        <f>AL6*10%</f>
        <v>1806.8000000000002</v>
      </c>
      <c r="AN6" s="181">
        <f>AL6*5%</f>
        <v>903.40000000000009</v>
      </c>
      <c r="AO6" s="176">
        <f>AL6*5%</f>
        <v>903.40000000000009</v>
      </c>
      <c r="AP6" s="68">
        <f>(AL6+AM6+AN6)*0.2359</f>
        <v>4901.5773799999997</v>
      </c>
      <c r="AQ6" s="116">
        <f>AL6+AM6+AN6+AO6+AP6</f>
        <v>26583.177380000001</v>
      </c>
      <c r="AR6" s="94">
        <f t="shared" ref="AR6:AR23" si="1">N6+X6+AH6+AQ6</f>
        <v>218411.5226075</v>
      </c>
      <c r="AS6" s="30"/>
      <c r="AV6" s="14"/>
    </row>
    <row r="7" spans="1:48" ht="47.25" x14ac:dyDescent="0.25">
      <c r="A7" s="170" t="s">
        <v>100</v>
      </c>
      <c r="B7" s="71">
        <v>11</v>
      </c>
      <c r="C7" s="71">
        <v>26</v>
      </c>
      <c r="D7" s="71" t="s">
        <v>78</v>
      </c>
      <c r="E7" s="71">
        <v>1</v>
      </c>
      <c r="F7" s="109"/>
      <c r="G7" s="193">
        <v>1998</v>
      </c>
      <c r="H7" s="194">
        <v>2</v>
      </c>
      <c r="I7" s="183">
        <f>G7*H7</f>
        <v>3996</v>
      </c>
      <c r="J7" s="183">
        <f>I7*10%</f>
        <v>399.6</v>
      </c>
      <c r="K7" s="183">
        <f>I7*5%</f>
        <v>199.8</v>
      </c>
      <c r="L7" s="183">
        <f>I7*5%</f>
        <v>199.8</v>
      </c>
      <c r="M7" s="183">
        <f>(I7+J7+K7)*0.2359</f>
        <v>1084.0548600000002</v>
      </c>
      <c r="N7" s="184">
        <f>SUM(I7:M7)</f>
        <v>5879.2548600000009</v>
      </c>
      <c r="O7" s="185">
        <v>2645</v>
      </c>
      <c r="P7" s="67">
        <f>O7</f>
        <v>2645</v>
      </c>
      <c r="Q7" s="67">
        <v>12</v>
      </c>
      <c r="R7" s="90">
        <f>P7*Q7</f>
        <v>31740</v>
      </c>
      <c r="S7" s="90"/>
      <c r="T7" s="99">
        <f>R7*10%</f>
        <v>3174</v>
      </c>
      <c r="U7" s="99">
        <f>R7*5%</f>
        <v>1587</v>
      </c>
      <c r="V7" s="175">
        <f>R7*5%</f>
        <v>1587</v>
      </c>
      <c r="W7" s="67">
        <f>(R7+T7+U7)*0.2359</f>
        <v>8610.5859</v>
      </c>
      <c r="X7" s="91">
        <f>SUM(R7:W7)</f>
        <v>46698.585899999998</v>
      </c>
      <c r="Y7" s="123">
        <v>2804</v>
      </c>
      <c r="Z7" s="67">
        <v>12</v>
      </c>
      <c r="AA7" s="90">
        <f>Y7</f>
        <v>2804</v>
      </c>
      <c r="AB7" s="88">
        <f t="shared" si="0"/>
        <v>33648</v>
      </c>
      <c r="AC7" s="88"/>
      <c r="AD7" s="175">
        <f>AB7*10%</f>
        <v>3364.8</v>
      </c>
      <c r="AE7" s="175">
        <f>AB7*5%</f>
        <v>1682.4</v>
      </c>
      <c r="AF7" s="175">
        <f>AB7*5%</f>
        <v>1682.4</v>
      </c>
      <c r="AG7" s="67">
        <f>(AB7+AD7+AE7)*0.2359</f>
        <v>9128.1976800000011</v>
      </c>
      <c r="AH7" s="116">
        <f>SUM(AB7:AG7)</f>
        <v>49505.797680000003</v>
      </c>
      <c r="AI7" s="123">
        <v>2927</v>
      </c>
      <c r="AJ7" s="67">
        <v>4</v>
      </c>
      <c r="AK7" s="139">
        <f>AI7</f>
        <v>2927</v>
      </c>
      <c r="AL7" s="139">
        <f>AJ7*AK7</f>
        <v>11708</v>
      </c>
      <c r="AM7" s="176">
        <f>AL7*10%</f>
        <v>1170.8</v>
      </c>
      <c r="AN7" s="181">
        <f>AL7*5%</f>
        <v>585.4</v>
      </c>
      <c r="AO7" s="176">
        <f>AL7*5%</f>
        <v>585.4</v>
      </c>
      <c r="AP7" s="68">
        <f>(AL7+AM7+AN7)*0.2359</f>
        <v>3176.2047799999996</v>
      </c>
      <c r="AQ7" s="116">
        <f>AL7+AM7+AN7+AO7+AP7</f>
        <v>17225.804779999999</v>
      </c>
      <c r="AR7" s="94">
        <f>N7+X7+AH7+AQ7</f>
        <v>119309.44322000002</v>
      </c>
    </row>
    <row r="8" spans="1:48" ht="47.25" x14ac:dyDescent="0.25">
      <c r="A8" s="171" t="s">
        <v>109</v>
      </c>
      <c r="B8" s="71">
        <v>10</v>
      </c>
      <c r="C8" s="71" t="s">
        <v>76</v>
      </c>
      <c r="D8" s="71" t="s">
        <v>78</v>
      </c>
      <c r="E8" s="71">
        <v>7</v>
      </c>
      <c r="F8" s="109"/>
      <c r="G8" s="191"/>
      <c r="H8" s="192"/>
      <c r="I8" s="183"/>
      <c r="J8" s="100"/>
      <c r="K8" s="100"/>
      <c r="L8" s="100"/>
      <c r="M8" s="100"/>
      <c r="N8" s="114"/>
      <c r="O8" s="185"/>
      <c r="P8" s="68"/>
      <c r="Q8" s="67"/>
      <c r="R8" s="86"/>
      <c r="S8" s="86"/>
      <c r="T8" s="86"/>
      <c r="U8" s="86"/>
      <c r="V8" s="18"/>
      <c r="W8" s="67">
        <f t="shared" ref="W8:W17" si="2">(R8+T8+U8)*0.2359</f>
        <v>0</v>
      </c>
      <c r="X8" s="91">
        <f t="shared" ref="X8:X18" si="3">SUM(R8:W8)</f>
        <v>0</v>
      </c>
      <c r="Y8" s="130">
        <v>2246</v>
      </c>
      <c r="Z8" s="68">
        <v>10</v>
      </c>
      <c r="AA8" s="90">
        <f>Y8*E8</f>
        <v>15722</v>
      </c>
      <c r="AB8" s="88">
        <f t="shared" si="0"/>
        <v>157220</v>
      </c>
      <c r="AC8" s="90"/>
      <c r="AD8" s="68"/>
      <c r="AE8" s="68"/>
      <c r="AF8" s="68">
        <f>(2200/12*10)*E8</f>
        <v>12833.333333333334</v>
      </c>
      <c r="AG8" s="67">
        <f>(AB8+AE8)*0.2359</f>
        <v>37088.197999999997</v>
      </c>
      <c r="AH8" s="116">
        <f t="shared" ref="AH8:AH18" si="4">SUM(AB8:AG8)</f>
        <v>207141.53133333335</v>
      </c>
      <c r="AI8" s="123"/>
      <c r="AJ8" s="68"/>
      <c r="AK8" s="104"/>
      <c r="AL8" s="18"/>
      <c r="AM8" s="67"/>
      <c r="AN8" s="104"/>
      <c r="AO8" s="68"/>
      <c r="AP8" s="68"/>
      <c r="AQ8" s="117"/>
      <c r="AR8" s="94">
        <f t="shared" si="1"/>
        <v>207141.53133333335</v>
      </c>
    </row>
    <row r="9" spans="1:48" s="10" customFormat="1" ht="47.25" x14ac:dyDescent="0.25">
      <c r="A9" s="172" t="s">
        <v>114</v>
      </c>
      <c r="B9" s="71">
        <v>10</v>
      </c>
      <c r="C9" s="71" t="s">
        <v>76</v>
      </c>
      <c r="D9" s="71" t="s">
        <v>78</v>
      </c>
      <c r="E9" s="71"/>
      <c r="F9" s="108">
        <v>0.3</v>
      </c>
      <c r="G9" s="193"/>
      <c r="H9" s="194"/>
      <c r="I9" s="183"/>
      <c r="J9" s="100"/>
      <c r="K9" s="100"/>
      <c r="L9" s="100"/>
      <c r="M9" s="100"/>
      <c r="N9" s="166"/>
      <c r="O9" s="185">
        <v>2118</v>
      </c>
      <c r="P9" s="69">
        <f>O9*0.3</f>
        <v>635.4</v>
      </c>
      <c r="Q9" s="67">
        <v>10</v>
      </c>
      <c r="R9" s="99">
        <f>Q9*P9</f>
        <v>6354</v>
      </c>
      <c r="S9" s="99"/>
      <c r="T9" s="87"/>
      <c r="U9" s="87"/>
      <c r="V9" s="67"/>
      <c r="W9" s="67">
        <f t="shared" si="2"/>
        <v>1498.9086</v>
      </c>
      <c r="X9" s="91">
        <f>SUM(R9:W9)</f>
        <v>7852.9085999999998</v>
      </c>
      <c r="Y9" s="130">
        <v>2246</v>
      </c>
      <c r="Z9" s="69">
        <v>12</v>
      </c>
      <c r="AA9" s="89">
        <f>Y9*0.3</f>
        <v>673.8</v>
      </c>
      <c r="AB9" s="88">
        <f t="shared" si="0"/>
        <v>8085.5999999999995</v>
      </c>
      <c r="AC9" s="89"/>
      <c r="AD9" s="67"/>
      <c r="AE9" s="67"/>
      <c r="AF9" s="67"/>
      <c r="AG9" s="67">
        <f>AB9*0.2359</f>
        <v>1907.3930399999999</v>
      </c>
      <c r="AH9" s="116">
        <f t="shared" si="4"/>
        <v>9992.9930399999994</v>
      </c>
      <c r="AI9" s="123"/>
      <c r="AJ9" s="67"/>
      <c r="AK9" s="69"/>
      <c r="AL9" s="69"/>
      <c r="AM9" s="67"/>
      <c r="AN9" s="70"/>
      <c r="AO9" s="68"/>
      <c r="AP9" s="69"/>
      <c r="AQ9" s="124"/>
      <c r="AR9" s="96">
        <f t="shared" si="1"/>
        <v>17845.90164</v>
      </c>
    </row>
    <row r="10" spans="1:48" s="10" customFormat="1" ht="47.25" x14ac:dyDescent="0.25">
      <c r="A10" s="172" t="s">
        <v>114</v>
      </c>
      <c r="B10" s="71">
        <v>10</v>
      </c>
      <c r="C10" s="71" t="s">
        <v>76</v>
      </c>
      <c r="D10" s="71" t="s">
        <v>78</v>
      </c>
      <c r="E10" s="71"/>
      <c r="F10" s="108">
        <v>0.3</v>
      </c>
      <c r="G10" s="193"/>
      <c r="H10" s="194"/>
      <c r="I10" s="183"/>
      <c r="J10" s="100"/>
      <c r="K10" s="100"/>
      <c r="L10" s="100"/>
      <c r="M10" s="100"/>
      <c r="N10" s="166"/>
      <c r="O10" s="185">
        <v>2118</v>
      </c>
      <c r="P10" s="69">
        <f t="shared" ref="P10:P15" si="5">O10*0.3</f>
        <v>635.4</v>
      </c>
      <c r="Q10" s="67">
        <v>10</v>
      </c>
      <c r="R10" s="99">
        <f t="shared" ref="R10:R15" si="6">Q10*P10</f>
        <v>6354</v>
      </c>
      <c r="S10" s="99"/>
      <c r="T10" s="87"/>
      <c r="U10" s="87"/>
      <c r="V10" s="67"/>
      <c r="W10" s="67">
        <f t="shared" si="2"/>
        <v>1498.9086</v>
      </c>
      <c r="X10" s="91">
        <f t="shared" si="3"/>
        <v>7852.9085999999998</v>
      </c>
      <c r="Y10" s="130">
        <v>2246</v>
      </c>
      <c r="Z10" s="69">
        <v>12</v>
      </c>
      <c r="AA10" s="89">
        <f t="shared" ref="AA10:AA15" si="7">Y10*0.3</f>
        <v>673.8</v>
      </c>
      <c r="AB10" s="88">
        <f t="shared" si="0"/>
        <v>8085.5999999999995</v>
      </c>
      <c r="AC10" s="89"/>
      <c r="AD10" s="67"/>
      <c r="AE10" s="67"/>
      <c r="AF10" s="67"/>
      <c r="AG10" s="67">
        <f t="shared" ref="AG10:AG15" si="8">AB10*0.2359</f>
        <v>1907.3930399999999</v>
      </c>
      <c r="AH10" s="116">
        <f t="shared" si="4"/>
        <v>9992.9930399999994</v>
      </c>
      <c r="AI10" s="123"/>
      <c r="AJ10" s="67"/>
      <c r="AK10" s="69"/>
      <c r="AL10" s="69"/>
      <c r="AM10" s="67"/>
      <c r="AN10" s="70"/>
      <c r="AO10" s="68"/>
      <c r="AP10" s="69"/>
      <c r="AQ10" s="124"/>
      <c r="AR10" s="96">
        <f t="shared" si="1"/>
        <v>17845.90164</v>
      </c>
    </row>
    <row r="11" spans="1:48" s="10" customFormat="1" ht="47.25" x14ac:dyDescent="0.25">
      <c r="A11" s="172" t="s">
        <v>114</v>
      </c>
      <c r="B11" s="71">
        <v>10</v>
      </c>
      <c r="C11" s="71" t="s">
        <v>76</v>
      </c>
      <c r="D11" s="71" t="s">
        <v>78</v>
      </c>
      <c r="E11" s="71"/>
      <c r="F11" s="108">
        <v>0.3</v>
      </c>
      <c r="G11" s="193"/>
      <c r="H11" s="194"/>
      <c r="I11" s="183"/>
      <c r="J11" s="100"/>
      <c r="K11" s="100"/>
      <c r="L11" s="100"/>
      <c r="M11" s="100"/>
      <c r="N11" s="166"/>
      <c r="O11" s="185">
        <v>2118</v>
      </c>
      <c r="P11" s="69">
        <f t="shared" si="5"/>
        <v>635.4</v>
      </c>
      <c r="Q11" s="67">
        <v>10</v>
      </c>
      <c r="R11" s="99">
        <f t="shared" si="6"/>
        <v>6354</v>
      </c>
      <c r="S11" s="99"/>
      <c r="T11" s="87"/>
      <c r="U11" s="87"/>
      <c r="V11" s="67"/>
      <c r="W11" s="67">
        <f t="shared" si="2"/>
        <v>1498.9086</v>
      </c>
      <c r="X11" s="91">
        <f t="shared" si="3"/>
        <v>7852.9085999999998</v>
      </c>
      <c r="Y11" s="130">
        <v>2246</v>
      </c>
      <c r="Z11" s="69">
        <v>12</v>
      </c>
      <c r="AA11" s="89">
        <f t="shared" si="7"/>
        <v>673.8</v>
      </c>
      <c r="AB11" s="88">
        <f t="shared" si="0"/>
        <v>8085.5999999999995</v>
      </c>
      <c r="AC11" s="89"/>
      <c r="AD11" s="67"/>
      <c r="AE11" s="67"/>
      <c r="AF11" s="67"/>
      <c r="AG11" s="67">
        <f t="shared" si="8"/>
        <v>1907.3930399999999</v>
      </c>
      <c r="AH11" s="116">
        <f t="shared" si="4"/>
        <v>9992.9930399999994</v>
      </c>
      <c r="AI11" s="123"/>
      <c r="AJ11" s="67"/>
      <c r="AK11" s="69"/>
      <c r="AL11" s="69"/>
      <c r="AM11" s="67"/>
      <c r="AN11" s="105"/>
      <c r="AO11" s="68"/>
      <c r="AP11" s="69"/>
      <c r="AQ11" s="124"/>
      <c r="AR11" s="96">
        <f t="shared" si="1"/>
        <v>17845.90164</v>
      </c>
    </row>
    <row r="12" spans="1:48" s="10" customFormat="1" ht="47.25" x14ac:dyDescent="0.25">
      <c r="A12" s="172" t="s">
        <v>114</v>
      </c>
      <c r="B12" s="71">
        <v>10</v>
      </c>
      <c r="C12" s="71" t="s">
        <v>76</v>
      </c>
      <c r="D12" s="71" t="s">
        <v>78</v>
      </c>
      <c r="E12" s="71"/>
      <c r="F12" s="108">
        <v>0.3</v>
      </c>
      <c r="G12" s="193"/>
      <c r="H12" s="194"/>
      <c r="I12" s="183"/>
      <c r="J12" s="100"/>
      <c r="K12" s="100"/>
      <c r="L12" s="100"/>
      <c r="M12" s="100"/>
      <c r="N12" s="166"/>
      <c r="O12" s="185">
        <v>2118</v>
      </c>
      <c r="P12" s="69">
        <f t="shared" si="5"/>
        <v>635.4</v>
      </c>
      <c r="Q12" s="67">
        <v>10</v>
      </c>
      <c r="R12" s="99">
        <f t="shared" si="6"/>
        <v>6354</v>
      </c>
      <c r="S12" s="99"/>
      <c r="T12" s="87"/>
      <c r="U12" s="87"/>
      <c r="V12" s="67"/>
      <c r="W12" s="67">
        <f t="shared" si="2"/>
        <v>1498.9086</v>
      </c>
      <c r="X12" s="91">
        <f t="shared" si="3"/>
        <v>7852.9085999999998</v>
      </c>
      <c r="Y12" s="130">
        <v>2246</v>
      </c>
      <c r="Z12" s="69">
        <v>12</v>
      </c>
      <c r="AA12" s="89">
        <f t="shared" si="7"/>
        <v>673.8</v>
      </c>
      <c r="AB12" s="89">
        <f t="shared" ref="AB12:AB15" si="9">Z12*AA12</f>
        <v>8085.5999999999995</v>
      </c>
      <c r="AC12" s="89"/>
      <c r="AD12" s="67"/>
      <c r="AE12" s="67"/>
      <c r="AF12" s="67"/>
      <c r="AG12" s="67">
        <f t="shared" si="8"/>
        <v>1907.3930399999999</v>
      </c>
      <c r="AH12" s="116">
        <f t="shared" si="4"/>
        <v>9992.9930399999994</v>
      </c>
      <c r="AI12" s="123"/>
      <c r="AJ12" s="67"/>
      <c r="AK12" s="69"/>
      <c r="AL12" s="69"/>
      <c r="AM12" s="67"/>
      <c r="AN12" s="105"/>
      <c r="AO12" s="68"/>
      <c r="AP12" s="69"/>
      <c r="AQ12" s="124"/>
      <c r="AR12" s="96">
        <f t="shared" si="1"/>
        <v>17845.90164</v>
      </c>
    </row>
    <row r="13" spans="1:48" s="10" customFormat="1" ht="43.15" customHeight="1" x14ac:dyDescent="0.25">
      <c r="A13" s="172" t="s">
        <v>115</v>
      </c>
      <c r="B13" s="71">
        <v>10</v>
      </c>
      <c r="C13" s="71" t="s">
        <v>76</v>
      </c>
      <c r="D13" s="71" t="s">
        <v>78</v>
      </c>
      <c r="E13" s="71"/>
      <c r="F13" s="108">
        <v>0.3</v>
      </c>
      <c r="G13" s="191"/>
      <c r="H13" s="192"/>
      <c r="I13" s="183"/>
      <c r="J13" s="100"/>
      <c r="K13" s="100"/>
      <c r="L13" s="100"/>
      <c r="M13" s="100"/>
      <c r="N13" s="114"/>
      <c r="O13" s="185">
        <v>2118</v>
      </c>
      <c r="P13" s="69">
        <f t="shared" si="5"/>
        <v>635.4</v>
      </c>
      <c r="Q13" s="67">
        <v>6</v>
      </c>
      <c r="R13" s="99">
        <f t="shared" si="6"/>
        <v>3812.3999999999996</v>
      </c>
      <c r="S13" s="99"/>
      <c r="T13" s="87"/>
      <c r="U13" s="87"/>
      <c r="V13" s="67"/>
      <c r="W13" s="67">
        <f t="shared" si="2"/>
        <v>899.34515999999996</v>
      </c>
      <c r="X13" s="91">
        <f t="shared" si="3"/>
        <v>4711.7451599999995</v>
      </c>
      <c r="Y13" s="130">
        <v>2246</v>
      </c>
      <c r="Z13" s="69">
        <v>12</v>
      </c>
      <c r="AA13" s="89">
        <f t="shared" si="7"/>
        <v>673.8</v>
      </c>
      <c r="AB13" s="89">
        <f t="shared" si="9"/>
        <v>8085.5999999999995</v>
      </c>
      <c r="AC13" s="89"/>
      <c r="AD13" s="67"/>
      <c r="AE13" s="67"/>
      <c r="AF13" s="67"/>
      <c r="AG13" s="67">
        <f t="shared" si="8"/>
        <v>1907.3930399999999</v>
      </c>
      <c r="AH13" s="116">
        <f t="shared" si="4"/>
        <v>9992.9930399999994</v>
      </c>
      <c r="AI13" s="123"/>
      <c r="AJ13" s="65"/>
      <c r="AK13" s="105"/>
      <c r="AL13" s="9"/>
      <c r="AM13" s="67"/>
      <c r="AN13" s="105"/>
      <c r="AO13" s="68"/>
      <c r="AP13" s="69"/>
      <c r="AQ13" s="124"/>
      <c r="AR13" s="96">
        <f t="shared" si="1"/>
        <v>14704.7382</v>
      </c>
    </row>
    <row r="14" spans="1:48" s="10" customFormat="1" ht="34.15" customHeight="1" x14ac:dyDescent="0.25">
      <c r="A14" s="172" t="s">
        <v>115</v>
      </c>
      <c r="B14" s="71">
        <v>10</v>
      </c>
      <c r="C14" s="71" t="s">
        <v>76</v>
      </c>
      <c r="D14" s="71" t="s">
        <v>78</v>
      </c>
      <c r="E14" s="71"/>
      <c r="F14" s="108">
        <v>0.3</v>
      </c>
      <c r="G14" s="191"/>
      <c r="H14" s="192"/>
      <c r="I14" s="183"/>
      <c r="J14" s="100"/>
      <c r="K14" s="100"/>
      <c r="L14" s="100"/>
      <c r="M14" s="100"/>
      <c r="N14" s="114"/>
      <c r="O14" s="185">
        <v>2118</v>
      </c>
      <c r="P14" s="69">
        <f t="shared" si="5"/>
        <v>635.4</v>
      </c>
      <c r="Q14" s="67">
        <v>6</v>
      </c>
      <c r="R14" s="99">
        <f t="shared" si="6"/>
        <v>3812.3999999999996</v>
      </c>
      <c r="S14" s="99"/>
      <c r="T14" s="87"/>
      <c r="U14" s="87"/>
      <c r="V14" s="9"/>
      <c r="W14" s="67">
        <f t="shared" si="2"/>
        <v>899.34515999999996</v>
      </c>
      <c r="X14" s="91">
        <f t="shared" si="3"/>
        <v>4711.7451599999995</v>
      </c>
      <c r="Y14" s="130">
        <v>2246</v>
      </c>
      <c r="Z14" s="69">
        <v>12</v>
      </c>
      <c r="AA14" s="89">
        <f t="shared" si="7"/>
        <v>673.8</v>
      </c>
      <c r="AB14" s="89">
        <f t="shared" si="9"/>
        <v>8085.5999999999995</v>
      </c>
      <c r="AC14" s="89"/>
      <c r="AD14" s="67"/>
      <c r="AE14" s="67"/>
      <c r="AF14" s="67"/>
      <c r="AG14" s="67">
        <f t="shared" si="8"/>
        <v>1907.3930399999999</v>
      </c>
      <c r="AH14" s="116">
        <f t="shared" si="4"/>
        <v>9992.9930399999994</v>
      </c>
      <c r="AI14" s="123"/>
      <c r="AJ14" s="65"/>
      <c r="AK14" s="105"/>
      <c r="AL14" s="9"/>
      <c r="AM14" s="67"/>
      <c r="AN14" s="105"/>
      <c r="AO14" s="68"/>
      <c r="AP14" s="69"/>
      <c r="AQ14" s="124"/>
      <c r="AR14" s="96">
        <f t="shared" si="1"/>
        <v>14704.7382</v>
      </c>
    </row>
    <row r="15" spans="1:48" s="10" customFormat="1" ht="32.65" customHeight="1" x14ac:dyDescent="0.25">
      <c r="A15" s="8" t="s">
        <v>104</v>
      </c>
      <c r="B15" s="71">
        <v>12</v>
      </c>
      <c r="C15" s="71" t="s">
        <v>76</v>
      </c>
      <c r="D15" s="72" t="s">
        <v>80</v>
      </c>
      <c r="E15" s="72"/>
      <c r="F15" s="108">
        <v>0.3</v>
      </c>
      <c r="G15" s="191"/>
      <c r="H15" s="192"/>
      <c r="I15" s="183"/>
      <c r="J15" s="100"/>
      <c r="K15" s="100"/>
      <c r="L15" s="100"/>
      <c r="M15" s="100"/>
      <c r="N15" s="114"/>
      <c r="O15" s="185">
        <v>3292</v>
      </c>
      <c r="P15" s="69">
        <f t="shared" si="5"/>
        <v>987.59999999999991</v>
      </c>
      <c r="Q15" s="67">
        <v>10</v>
      </c>
      <c r="R15" s="99">
        <f t="shared" si="6"/>
        <v>9876</v>
      </c>
      <c r="S15" s="99"/>
      <c r="T15" s="87"/>
      <c r="U15" s="87"/>
      <c r="V15" s="67"/>
      <c r="W15" s="67">
        <f t="shared" si="2"/>
        <v>2329.7483999999999</v>
      </c>
      <c r="X15" s="91">
        <f t="shared" si="3"/>
        <v>12205.7484</v>
      </c>
      <c r="Y15" s="130">
        <v>3489</v>
      </c>
      <c r="Z15" s="69">
        <v>12</v>
      </c>
      <c r="AA15" s="89">
        <f t="shared" si="7"/>
        <v>1046.7</v>
      </c>
      <c r="AB15" s="89">
        <f t="shared" si="9"/>
        <v>12560.400000000001</v>
      </c>
      <c r="AC15" s="89"/>
      <c r="AD15" s="67"/>
      <c r="AE15" s="67"/>
      <c r="AF15" s="67"/>
      <c r="AG15" s="67">
        <f t="shared" si="8"/>
        <v>2962.9983600000005</v>
      </c>
      <c r="AH15" s="116">
        <f t="shared" si="4"/>
        <v>15523.398360000003</v>
      </c>
      <c r="AI15" s="123"/>
      <c r="AJ15" s="65"/>
      <c r="AK15" s="105"/>
      <c r="AL15" s="9"/>
      <c r="AM15" s="67"/>
      <c r="AN15" s="105"/>
      <c r="AO15" s="68"/>
      <c r="AP15" s="69"/>
      <c r="AQ15" s="124"/>
      <c r="AR15" s="96">
        <f t="shared" si="1"/>
        <v>27729.146760000003</v>
      </c>
    </row>
    <row r="16" spans="1:48" s="10" customFormat="1" ht="32.25" customHeight="1" x14ac:dyDescent="0.25">
      <c r="A16" s="170" t="s">
        <v>73</v>
      </c>
      <c r="B16" s="71">
        <v>12</v>
      </c>
      <c r="C16" s="71">
        <v>9</v>
      </c>
      <c r="D16" s="4" t="s">
        <v>79</v>
      </c>
      <c r="E16" s="4">
        <v>1</v>
      </c>
      <c r="F16" s="110"/>
      <c r="G16" s="191"/>
      <c r="H16" s="192"/>
      <c r="I16" s="194"/>
      <c r="J16" s="101"/>
      <c r="K16" s="101"/>
      <c r="L16" s="101"/>
      <c r="M16" s="194"/>
      <c r="N16" s="207"/>
      <c r="O16" s="185">
        <v>3292</v>
      </c>
      <c r="P16" s="68">
        <f>O16</f>
        <v>3292</v>
      </c>
      <c r="Q16" s="67">
        <v>12</v>
      </c>
      <c r="R16" s="90">
        <f>P16*Q16</f>
        <v>39504</v>
      </c>
      <c r="S16" s="88">
        <f>(P16*0.2)*Q16</f>
        <v>7900.8000000000011</v>
      </c>
      <c r="T16" s="88"/>
      <c r="U16" s="88"/>
      <c r="V16" s="175">
        <f>R16*5%</f>
        <v>1975.2</v>
      </c>
      <c r="W16" s="67">
        <f>(R16+S16+T16+U16)*0.2359</f>
        <v>11182.79232</v>
      </c>
      <c r="X16" s="91">
        <f t="shared" si="3"/>
        <v>60562.79232</v>
      </c>
      <c r="Y16" s="130">
        <v>3489</v>
      </c>
      <c r="Z16" s="67">
        <v>12</v>
      </c>
      <c r="AA16" s="89">
        <f>Y16</f>
        <v>3489</v>
      </c>
      <c r="AB16" s="89">
        <f>Z16*AA16</f>
        <v>41868</v>
      </c>
      <c r="AC16" s="67">
        <f>(AA16*0.2)*Z16</f>
        <v>8373.6</v>
      </c>
      <c r="AD16" s="67"/>
      <c r="AE16" s="67"/>
      <c r="AF16" s="175">
        <f>AB16*5%</f>
        <v>2093.4</v>
      </c>
      <c r="AG16" s="67">
        <f>(AB16+AD16+AC16)*0.2359</f>
        <v>11851.99344</v>
      </c>
      <c r="AH16" s="116">
        <f t="shared" si="4"/>
        <v>64186.993439999998</v>
      </c>
      <c r="AI16" s="123"/>
      <c r="AJ16" s="70"/>
      <c r="AK16" s="106"/>
      <c r="AL16" s="19"/>
      <c r="AM16" s="67"/>
      <c r="AN16" s="106"/>
      <c r="AO16" s="19"/>
      <c r="AP16" s="67"/>
      <c r="AQ16" s="116"/>
      <c r="AR16" s="96">
        <f t="shared" si="1"/>
        <v>124749.78576</v>
      </c>
    </row>
    <row r="17" spans="1:44" s="10" customFormat="1" ht="31.5" x14ac:dyDescent="0.25">
      <c r="A17" s="172" t="s">
        <v>105</v>
      </c>
      <c r="B17" s="72">
        <v>11</v>
      </c>
      <c r="C17" s="72">
        <v>24</v>
      </c>
      <c r="D17" s="72" t="s">
        <v>78</v>
      </c>
      <c r="E17" s="72"/>
      <c r="F17" s="108">
        <v>0.3</v>
      </c>
      <c r="G17" s="193">
        <v>1890</v>
      </c>
      <c r="H17" s="194">
        <v>2</v>
      </c>
      <c r="I17" s="183">
        <f>(G17*F17)*H17</f>
        <v>1134</v>
      </c>
      <c r="J17" s="100"/>
      <c r="K17" s="100"/>
      <c r="L17" s="100"/>
      <c r="M17" s="183">
        <f>I17*0.2359</f>
        <v>267.51060000000001</v>
      </c>
      <c r="N17" s="184">
        <f t="shared" ref="N17:N18" si="10">I17+M17</f>
        <v>1401.5106000000001</v>
      </c>
      <c r="O17" s="185">
        <v>2645</v>
      </c>
      <c r="P17" s="69">
        <f>O17*0.3</f>
        <v>793.5</v>
      </c>
      <c r="Q17" s="67">
        <v>12</v>
      </c>
      <c r="R17" s="99">
        <f>P17*Q17</f>
        <v>9522</v>
      </c>
      <c r="S17" s="99"/>
      <c r="T17" s="87"/>
      <c r="U17" s="87"/>
      <c r="V17" s="67"/>
      <c r="W17" s="67">
        <f t="shared" si="2"/>
        <v>2246.2397999999998</v>
      </c>
      <c r="X17" s="91">
        <f t="shared" si="3"/>
        <v>11768.239799999999</v>
      </c>
      <c r="Y17" s="130">
        <v>2804</v>
      </c>
      <c r="Z17" s="69">
        <v>10</v>
      </c>
      <c r="AA17" s="89">
        <f>Y17*0.3</f>
        <v>841.19999999999993</v>
      </c>
      <c r="AB17" s="89">
        <f>Z17*AA17</f>
        <v>8412</v>
      </c>
      <c r="AC17" s="89"/>
      <c r="AD17" s="67"/>
      <c r="AE17" s="67"/>
      <c r="AF17" s="67"/>
      <c r="AG17" s="67">
        <f>AB17*0.2359</f>
        <v>1984.3907999999999</v>
      </c>
      <c r="AH17" s="116">
        <f t="shared" si="4"/>
        <v>10396.390799999999</v>
      </c>
      <c r="AI17" s="123"/>
      <c r="AJ17" s="70"/>
      <c r="AK17" s="105"/>
      <c r="AL17" s="9"/>
      <c r="AM17" s="67"/>
      <c r="AN17" s="105"/>
      <c r="AO17" s="69"/>
      <c r="AP17" s="69"/>
      <c r="AQ17" s="124"/>
      <c r="AR17" s="96">
        <f t="shared" si="1"/>
        <v>23566.141199999998</v>
      </c>
    </row>
    <row r="18" spans="1:44" s="10" customFormat="1" ht="42" customHeight="1" thickBot="1" x14ac:dyDescent="0.3">
      <c r="A18" s="172" t="s">
        <v>105</v>
      </c>
      <c r="B18" s="72">
        <v>11</v>
      </c>
      <c r="C18" s="72">
        <v>24</v>
      </c>
      <c r="D18" s="72" t="s">
        <v>78</v>
      </c>
      <c r="E18" s="72"/>
      <c r="F18" s="167">
        <v>0.3</v>
      </c>
      <c r="G18" s="195">
        <v>1890</v>
      </c>
      <c r="H18" s="196">
        <v>2</v>
      </c>
      <c r="I18" s="197">
        <f>(G18*F18)*H18</f>
        <v>1134</v>
      </c>
      <c r="J18" s="115"/>
      <c r="K18" s="115"/>
      <c r="L18" s="115"/>
      <c r="M18" s="197">
        <f t="shared" ref="M18" si="11">I18*0.2359</f>
        <v>267.51060000000001</v>
      </c>
      <c r="N18" s="208">
        <f t="shared" si="10"/>
        <v>1401.5106000000001</v>
      </c>
      <c r="O18" s="186">
        <v>2645</v>
      </c>
      <c r="P18" s="118">
        <f t="shared" ref="P18:P23" si="12">O18*0.3</f>
        <v>793.5</v>
      </c>
      <c r="Q18" s="119">
        <v>12</v>
      </c>
      <c r="R18" s="120">
        <f>P18*Q18</f>
        <v>9522</v>
      </c>
      <c r="S18" s="120"/>
      <c r="T18" s="121"/>
      <c r="U18" s="121"/>
      <c r="V18" s="119"/>
      <c r="W18" s="118">
        <f>R18*0.2359</f>
        <v>2246.2397999999998</v>
      </c>
      <c r="X18" s="91">
        <f t="shared" si="3"/>
        <v>11768.239799999999</v>
      </c>
      <c r="Y18" s="131">
        <v>2804</v>
      </c>
      <c r="Z18" s="118">
        <v>10</v>
      </c>
      <c r="AA18" s="132">
        <f>Y18*0.3</f>
        <v>841.19999999999993</v>
      </c>
      <c r="AB18" s="132">
        <f>Z18*AA18</f>
        <v>8412</v>
      </c>
      <c r="AC18" s="132"/>
      <c r="AD18" s="119"/>
      <c r="AE18" s="119"/>
      <c r="AF18" s="119"/>
      <c r="AG18" s="119">
        <f>AB18*0.2359</f>
        <v>1984.3907999999999</v>
      </c>
      <c r="AH18" s="116">
        <f t="shared" si="4"/>
        <v>10396.390799999999</v>
      </c>
      <c r="AI18" s="125"/>
      <c r="AJ18" s="126"/>
      <c r="AK18" s="127"/>
      <c r="AL18" s="128"/>
      <c r="AM18" s="119"/>
      <c r="AN18" s="127"/>
      <c r="AO18" s="118"/>
      <c r="AP18" s="118"/>
      <c r="AQ18" s="129"/>
      <c r="AR18" s="96">
        <f t="shared" si="1"/>
        <v>23566.141199999998</v>
      </c>
    </row>
    <row r="19" spans="1:44" s="81" customFormat="1" ht="31.15" customHeight="1" x14ac:dyDescent="0.25">
      <c r="A19" s="76" t="s">
        <v>29</v>
      </c>
      <c r="B19" s="77">
        <v>11</v>
      </c>
      <c r="C19" s="77" t="s">
        <v>103</v>
      </c>
      <c r="D19" s="77" t="s">
        <v>102</v>
      </c>
      <c r="E19" s="77"/>
      <c r="F19" s="177">
        <v>0.3</v>
      </c>
      <c r="G19" s="198"/>
      <c r="H19" s="199">
        <v>0</v>
      </c>
      <c r="I19" s="200"/>
      <c r="J19" s="147"/>
      <c r="K19" s="147"/>
      <c r="L19" s="147"/>
      <c r="M19" s="200">
        <f>G19*H19*0.2359</f>
        <v>0</v>
      </c>
      <c r="N19" s="209">
        <f>G19*H19*1.2359</f>
        <v>0</v>
      </c>
      <c r="O19" s="187">
        <v>2645</v>
      </c>
      <c r="P19" s="150">
        <f t="shared" si="12"/>
        <v>793.5</v>
      </c>
      <c r="Q19" s="150">
        <v>12</v>
      </c>
      <c r="R19" s="150">
        <f t="shared" ref="R19:R23" si="13">P19*Q19</f>
        <v>9522</v>
      </c>
      <c r="S19" s="150"/>
      <c r="T19" s="151"/>
      <c r="U19" s="151"/>
      <c r="V19" s="151"/>
      <c r="W19" s="150">
        <f t="shared" ref="W19:W23" si="14">R19*0.2359</f>
        <v>2246.2397999999998</v>
      </c>
      <c r="X19" s="152">
        <f t="shared" ref="X19:X23" si="15">R19+W19</f>
        <v>11768.239799999999</v>
      </c>
      <c r="Y19" s="159">
        <v>2804</v>
      </c>
      <c r="Z19" s="150">
        <v>12</v>
      </c>
      <c r="AA19" s="150">
        <f t="shared" ref="AA19:AA23" si="16">Y19*0.3</f>
        <v>841.19999999999993</v>
      </c>
      <c r="AB19" s="150">
        <f t="shared" ref="AB19:AB23" si="17">Z19*AA19</f>
        <v>10094.4</v>
      </c>
      <c r="AC19" s="150"/>
      <c r="AD19" s="151"/>
      <c r="AE19" s="151"/>
      <c r="AF19" s="151"/>
      <c r="AG19" s="150">
        <f t="shared" ref="AG19:AG23" si="18">AB19*0.2359</f>
        <v>2381.2689599999999</v>
      </c>
      <c r="AH19" s="152">
        <f t="shared" ref="AH19:AH23" si="19">AB19+AG19</f>
        <v>12475.668959999999</v>
      </c>
      <c r="AI19" s="159">
        <v>2927</v>
      </c>
      <c r="AJ19" s="164">
        <v>4</v>
      </c>
      <c r="AK19" s="150">
        <f>AI19*30%</f>
        <v>878.1</v>
      </c>
      <c r="AL19" s="150">
        <f>AK19*AJ19</f>
        <v>3512.4</v>
      </c>
      <c r="AM19" s="151"/>
      <c r="AN19" s="151"/>
      <c r="AO19" s="151"/>
      <c r="AP19" s="182">
        <f>(AL19+AM19+AN19)*0.2359</f>
        <v>828.57515999999998</v>
      </c>
      <c r="AQ19" s="152">
        <f>AL19+AM19+AN19+AO19+AP19</f>
        <v>4340.97516</v>
      </c>
      <c r="AR19" s="95">
        <f t="shared" si="1"/>
        <v>28584.88392</v>
      </c>
    </row>
    <row r="20" spans="1:44" s="81" customFormat="1" ht="36" customHeight="1" x14ac:dyDescent="0.25">
      <c r="A20" s="76" t="s">
        <v>30</v>
      </c>
      <c r="B20" s="77">
        <v>12</v>
      </c>
      <c r="C20" s="77">
        <v>37</v>
      </c>
      <c r="D20" s="77" t="s">
        <v>78</v>
      </c>
      <c r="E20" s="77"/>
      <c r="F20" s="177">
        <v>0.3</v>
      </c>
      <c r="G20" s="201"/>
      <c r="H20" s="202">
        <v>0</v>
      </c>
      <c r="I20" s="203"/>
      <c r="J20" s="179"/>
      <c r="K20" s="179"/>
      <c r="L20" s="179"/>
      <c r="M20" s="210">
        <f t="shared" ref="M20:M23" si="20">G20*H20*0.2359</f>
        <v>0</v>
      </c>
      <c r="N20" s="211">
        <f t="shared" ref="N20:N23" si="21">G20*H20*1.2359</f>
        <v>0</v>
      </c>
      <c r="O20" s="188">
        <v>3292</v>
      </c>
      <c r="P20" s="78">
        <f t="shared" si="12"/>
        <v>987.59999999999991</v>
      </c>
      <c r="Q20" s="78">
        <v>12</v>
      </c>
      <c r="R20" s="78">
        <f t="shared" si="13"/>
        <v>11851.199999999999</v>
      </c>
      <c r="S20" s="78"/>
      <c r="T20" s="79"/>
      <c r="U20" s="79"/>
      <c r="V20" s="79"/>
      <c r="W20" s="78">
        <f t="shared" si="14"/>
        <v>2795.6980799999997</v>
      </c>
      <c r="X20" s="153">
        <f t="shared" si="15"/>
        <v>14646.898079999999</v>
      </c>
      <c r="Y20" s="160">
        <v>3489</v>
      </c>
      <c r="Z20" s="78">
        <v>12</v>
      </c>
      <c r="AA20" s="78">
        <f t="shared" si="16"/>
        <v>1046.7</v>
      </c>
      <c r="AB20" s="78">
        <f t="shared" si="17"/>
        <v>12560.400000000001</v>
      </c>
      <c r="AC20" s="78"/>
      <c r="AD20" s="79"/>
      <c r="AE20" s="79"/>
      <c r="AF20" s="79"/>
      <c r="AG20" s="103">
        <f t="shared" si="18"/>
        <v>2962.9983600000005</v>
      </c>
      <c r="AH20" s="156">
        <f t="shared" si="19"/>
        <v>15523.398360000003</v>
      </c>
      <c r="AI20" s="160"/>
      <c r="AJ20" s="80"/>
      <c r="AK20" s="78"/>
      <c r="AL20" s="78"/>
      <c r="AM20" s="79"/>
      <c r="AN20" s="79"/>
      <c r="AO20" s="79"/>
      <c r="AP20" s="78">
        <f t="shared" ref="AP20:AP21" si="22">(AL20+AM20+AN20)*0.2359</f>
        <v>0</v>
      </c>
      <c r="AQ20" s="156">
        <f t="shared" ref="AQ20:AQ21" si="23">AL20+AM20+AN20+AO20+AP20</f>
        <v>0</v>
      </c>
      <c r="AR20" s="95">
        <f t="shared" si="1"/>
        <v>30170.296440000002</v>
      </c>
    </row>
    <row r="21" spans="1:44" s="81" customFormat="1" ht="36" customHeight="1" x14ac:dyDescent="0.25">
      <c r="A21" s="76" t="s">
        <v>31</v>
      </c>
      <c r="B21" s="77">
        <v>16</v>
      </c>
      <c r="C21" s="77" t="s">
        <v>81</v>
      </c>
      <c r="D21" s="77" t="s">
        <v>101</v>
      </c>
      <c r="E21" s="77"/>
      <c r="F21" s="177">
        <v>0.3</v>
      </c>
      <c r="G21" s="201">
        <v>5000</v>
      </c>
      <c r="H21" s="202">
        <v>2</v>
      </c>
      <c r="I21" s="203">
        <f t="shared" ref="I21:I22" si="24">(G21*F21)*H21</f>
        <v>3000</v>
      </c>
      <c r="J21" s="179"/>
      <c r="K21" s="179"/>
      <c r="L21" s="179"/>
      <c r="M21" s="210">
        <f t="shared" ref="M21:M22" si="25">I21*0.2359</f>
        <v>707.7</v>
      </c>
      <c r="N21" s="211">
        <f t="shared" si="21"/>
        <v>12359</v>
      </c>
      <c r="O21" s="188">
        <v>5779</v>
      </c>
      <c r="P21" s="78">
        <f t="shared" si="12"/>
        <v>1733.7</v>
      </c>
      <c r="Q21" s="78">
        <v>12</v>
      </c>
      <c r="R21" s="78">
        <f t="shared" si="13"/>
        <v>20804.400000000001</v>
      </c>
      <c r="S21" s="78"/>
      <c r="T21" s="79"/>
      <c r="U21" s="79"/>
      <c r="V21" s="79"/>
      <c r="W21" s="78">
        <f t="shared" si="14"/>
        <v>4907.7579599999999</v>
      </c>
      <c r="X21" s="153">
        <f t="shared" si="15"/>
        <v>25712.15796</v>
      </c>
      <c r="Y21" s="160">
        <v>6126</v>
      </c>
      <c r="Z21" s="78">
        <v>12</v>
      </c>
      <c r="AA21" s="78">
        <f t="shared" si="16"/>
        <v>1837.8</v>
      </c>
      <c r="AB21" s="78">
        <f t="shared" si="17"/>
        <v>22053.599999999999</v>
      </c>
      <c r="AC21" s="78"/>
      <c r="AD21" s="79"/>
      <c r="AE21" s="79"/>
      <c r="AF21" s="79"/>
      <c r="AG21" s="103">
        <f t="shared" si="18"/>
        <v>5202.4442399999998</v>
      </c>
      <c r="AH21" s="156">
        <f t="shared" si="19"/>
        <v>27256.044239999999</v>
      </c>
      <c r="AI21" s="160"/>
      <c r="AJ21" s="80"/>
      <c r="AK21" s="78"/>
      <c r="AL21" s="78"/>
      <c r="AM21" s="79"/>
      <c r="AN21" s="79"/>
      <c r="AO21" s="79"/>
      <c r="AP21" s="78">
        <f t="shared" si="22"/>
        <v>0</v>
      </c>
      <c r="AQ21" s="156">
        <f t="shared" si="23"/>
        <v>0</v>
      </c>
      <c r="AR21" s="95">
        <f t="shared" si="1"/>
        <v>65327.2022</v>
      </c>
    </row>
    <row r="22" spans="1:44" s="81" customFormat="1" ht="36" customHeight="1" x14ac:dyDescent="0.25">
      <c r="A22" s="76" t="s">
        <v>32</v>
      </c>
      <c r="B22" s="77">
        <v>13</v>
      </c>
      <c r="C22" s="77">
        <v>37</v>
      </c>
      <c r="D22" s="77" t="s">
        <v>102</v>
      </c>
      <c r="E22" s="77"/>
      <c r="F22" s="177">
        <v>0.3</v>
      </c>
      <c r="G22" s="201">
        <v>3850</v>
      </c>
      <c r="H22" s="202">
        <v>2</v>
      </c>
      <c r="I22" s="203">
        <f t="shared" si="24"/>
        <v>2310</v>
      </c>
      <c r="J22" s="179"/>
      <c r="K22" s="179"/>
      <c r="L22" s="179"/>
      <c r="M22" s="210">
        <f t="shared" si="25"/>
        <v>544.92899999999997</v>
      </c>
      <c r="N22" s="211">
        <f t="shared" si="21"/>
        <v>9516.43</v>
      </c>
      <c r="O22" s="188">
        <v>4081</v>
      </c>
      <c r="P22" s="78">
        <f t="shared" si="12"/>
        <v>1224.3</v>
      </c>
      <c r="Q22" s="78">
        <v>12</v>
      </c>
      <c r="R22" s="78">
        <f t="shared" si="13"/>
        <v>14691.599999999999</v>
      </c>
      <c r="S22" s="78"/>
      <c r="T22" s="79"/>
      <c r="U22" s="79"/>
      <c r="V22" s="79"/>
      <c r="W22" s="78">
        <f t="shared" si="14"/>
        <v>3465.7484399999998</v>
      </c>
      <c r="X22" s="156">
        <f t="shared" si="15"/>
        <v>18157.348439999998</v>
      </c>
      <c r="Y22" s="160">
        <v>4326</v>
      </c>
      <c r="Z22" s="78">
        <v>12</v>
      </c>
      <c r="AA22" s="78">
        <f t="shared" si="16"/>
        <v>1297.8</v>
      </c>
      <c r="AB22" s="78">
        <f t="shared" si="17"/>
        <v>15573.599999999999</v>
      </c>
      <c r="AC22" s="78"/>
      <c r="AD22" s="79"/>
      <c r="AE22" s="79"/>
      <c r="AF22" s="79"/>
      <c r="AG22" s="103">
        <f t="shared" si="18"/>
        <v>3673.8122399999997</v>
      </c>
      <c r="AH22" s="156">
        <f t="shared" si="19"/>
        <v>19247.412239999998</v>
      </c>
      <c r="AI22" s="160">
        <v>4517</v>
      </c>
      <c r="AJ22" s="80">
        <v>4</v>
      </c>
      <c r="AK22" s="78">
        <f>AI22*30%</f>
        <v>1355.1</v>
      </c>
      <c r="AL22" s="78">
        <f>AK22*AJ22</f>
        <v>5420.4</v>
      </c>
      <c r="AM22" s="79"/>
      <c r="AN22" s="79"/>
      <c r="AO22" s="79"/>
      <c r="AP22" s="103">
        <f>(AL22+AM22+AN22)*0.2359</f>
        <v>1278.6723599999998</v>
      </c>
      <c r="AQ22" s="156">
        <f>AL22+AM22+AN22+AO22+AP22</f>
        <v>6699.0723599999992</v>
      </c>
      <c r="AR22" s="95">
        <f t="shared" si="1"/>
        <v>53620.263039999998</v>
      </c>
    </row>
    <row r="23" spans="1:44" s="81" customFormat="1" ht="36" customHeight="1" thickBot="1" x14ac:dyDescent="0.3">
      <c r="A23" s="76" t="s">
        <v>33</v>
      </c>
      <c r="B23" s="77">
        <v>13</v>
      </c>
      <c r="C23" s="77">
        <v>37</v>
      </c>
      <c r="D23" s="77" t="s">
        <v>102</v>
      </c>
      <c r="E23" s="77"/>
      <c r="F23" s="177">
        <v>0.3</v>
      </c>
      <c r="G23" s="204"/>
      <c r="H23" s="205">
        <v>0</v>
      </c>
      <c r="I23" s="206"/>
      <c r="J23" s="180"/>
      <c r="K23" s="180"/>
      <c r="L23" s="180"/>
      <c r="M23" s="148">
        <f t="shared" si="20"/>
        <v>0</v>
      </c>
      <c r="N23" s="149">
        <f t="shared" si="21"/>
        <v>0</v>
      </c>
      <c r="O23" s="189">
        <v>4081</v>
      </c>
      <c r="P23" s="154">
        <f t="shared" si="12"/>
        <v>1224.3</v>
      </c>
      <c r="Q23" s="154">
        <v>12</v>
      </c>
      <c r="R23" s="154">
        <f t="shared" si="13"/>
        <v>14691.599999999999</v>
      </c>
      <c r="S23" s="154"/>
      <c r="T23" s="155"/>
      <c r="U23" s="155"/>
      <c r="V23" s="155"/>
      <c r="W23" s="157">
        <f t="shared" si="14"/>
        <v>3465.7484399999998</v>
      </c>
      <c r="X23" s="158">
        <f t="shared" si="15"/>
        <v>18157.348439999998</v>
      </c>
      <c r="Y23" s="161">
        <v>4326</v>
      </c>
      <c r="Z23" s="154">
        <v>12</v>
      </c>
      <c r="AA23" s="154">
        <f t="shared" si="16"/>
        <v>1297.8</v>
      </c>
      <c r="AB23" s="154">
        <f t="shared" si="17"/>
        <v>15573.599999999999</v>
      </c>
      <c r="AC23" s="154"/>
      <c r="AD23" s="155"/>
      <c r="AE23" s="155"/>
      <c r="AF23" s="155"/>
      <c r="AG23" s="157">
        <f t="shared" si="18"/>
        <v>3673.8122399999997</v>
      </c>
      <c r="AH23" s="158">
        <f t="shared" si="19"/>
        <v>19247.412239999998</v>
      </c>
      <c r="AI23" s="161"/>
      <c r="AJ23" s="165"/>
      <c r="AK23" s="154"/>
      <c r="AL23" s="154"/>
      <c r="AM23" s="155"/>
      <c r="AN23" s="155"/>
      <c r="AO23" s="155"/>
      <c r="AP23" s="157">
        <f t="shared" ref="AP23" si="26">AJ23*AK23*0.2359*1.2</f>
        <v>0</v>
      </c>
      <c r="AQ23" s="158">
        <f>AL23+AM23+AN23+AO23+AP23</f>
        <v>0</v>
      </c>
      <c r="AR23" s="95">
        <f t="shared" si="1"/>
        <v>37404.760679999992</v>
      </c>
    </row>
    <row r="24" spans="1:44" s="66" customFormat="1" ht="34.5" customHeight="1" x14ac:dyDescent="0.25">
      <c r="A24" s="66" t="s">
        <v>34</v>
      </c>
      <c r="B24" s="178"/>
      <c r="G24" s="66">
        <f t="shared" ref="G24" si="27">SUM(G4:G23)</f>
        <v>17733</v>
      </c>
      <c r="I24" s="66">
        <f t="shared" ref="I24:L24" si="28">SUM(I4:I23)</f>
        <v>41071.5</v>
      </c>
      <c r="J24" s="66">
        <f t="shared" si="28"/>
        <v>3349.35</v>
      </c>
      <c r="K24" s="66">
        <f t="shared" si="28"/>
        <v>1674.675</v>
      </c>
      <c r="L24" s="66">
        <f t="shared" si="28"/>
        <v>1674.675</v>
      </c>
      <c r="M24" s="66">
        <f>SUM(M4:M23)</f>
        <v>10873.934347500001</v>
      </c>
      <c r="N24" s="66">
        <f>SUM(N4:N23)</f>
        <v>73956.935347499995</v>
      </c>
      <c r="O24" s="163"/>
      <c r="P24" s="163">
        <f t="shared" ref="P24" si="29">SUM(P4:P23)</f>
        <v>24272.199999999993</v>
      </c>
      <c r="Q24" s="163"/>
      <c r="R24" s="163">
        <f t="shared" ref="R24:W24" si="30">SUM(R4:R23)</f>
        <v>276583.2</v>
      </c>
      <c r="S24" s="163">
        <f t="shared" si="30"/>
        <v>7900.8000000000011</v>
      </c>
      <c r="T24" s="163">
        <f t="shared" si="30"/>
        <v>8071.2</v>
      </c>
      <c r="U24" s="163">
        <f t="shared" si="30"/>
        <v>4035.6</v>
      </c>
      <c r="V24" s="163">
        <f t="shared" si="30"/>
        <v>6010.8</v>
      </c>
      <c r="W24" s="163">
        <f t="shared" si="30"/>
        <v>69965.769719999997</v>
      </c>
      <c r="X24" s="66">
        <f t="shared" ref="X24:Y24" si="31">SUM(X4:X23)</f>
        <v>372567.3697199999</v>
      </c>
      <c r="Y24" s="163">
        <f t="shared" si="31"/>
        <v>63235</v>
      </c>
      <c r="Z24" s="163"/>
      <c r="AA24" s="163">
        <f t="shared" ref="AA24:AR24" si="32">SUM(AA4:AA23)</f>
        <v>41451.999999999993</v>
      </c>
      <c r="AB24" s="163">
        <f t="shared" si="32"/>
        <v>462615.19999999984</v>
      </c>
      <c r="AC24" s="163"/>
      <c r="AD24" s="163">
        <f t="shared" si="32"/>
        <v>8556</v>
      </c>
      <c r="AE24" s="163">
        <f t="shared" si="32"/>
        <v>4278</v>
      </c>
      <c r="AF24" s="163">
        <f t="shared" si="32"/>
        <v>19204.733333333337</v>
      </c>
      <c r="AG24" s="163">
        <f t="shared" si="32"/>
        <v>114133.79851999995</v>
      </c>
      <c r="AH24" s="66">
        <f t="shared" si="32"/>
        <v>617161.33185333305</v>
      </c>
      <c r="AI24" s="66">
        <f t="shared" si="32"/>
        <v>14888</v>
      </c>
      <c r="AK24" s="66">
        <f t="shared" si="32"/>
        <v>9677.2000000000007</v>
      </c>
      <c r="AL24" s="66">
        <f t="shared" si="32"/>
        <v>38708.800000000003</v>
      </c>
      <c r="AM24" s="66">
        <f t="shared" si="32"/>
        <v>2977.6000000000004</v>
      </c>
      <c r="AN24" s="66">
        <f t="shared" si="32"/>
        <v>1488.8000000000002</v>
      </c>
      <c r="AO24" s="66">
        <f t="shared" si="32"/>
        <v>1488.8000000000002</v>
      </c>
      <c r="AP24" s="66">
        <f t="shared" si="32"/>
        <v>10185.02968</v>
      </c>
      <c r="AQ24" s="66">
        <f t="shared" si="32"/>
        <v>54849.02968</v>
      </c>
      <c r="AR24" s="66">
        <f t="shared" si="32"/>
        <v>1118534.6666008336</v>
      </c>
    </row>
    <row r="25" spans="1:44" x14ac:dyDescent="0.25">
      <c r="R25" s="162"/>
      <c r="S25" s="162"/>
    </row>
    <row r="27" spans="1:44" ht="15" hidden="1" x14ac:dyDescent="0.25">
      <c r="AR27" s="20" t="s">
        <v>35</v>
      </c>
    </row>
    <row r="28" spans="1:44" ht="15" x14ac:dyDescent="0.25">
      <c r="AR28" s="20"/>
    </row>
    <row r="29" spans="1:44" x14ac:dyDescent="0.25">
      <c r="AH29" s="14"/>
      <c r="AI29" s="14"/>
      <c r="AJ29" s="14"/>
    </row>
    <row r="31" spans="1:44" x14ac:dyDescent="0.25">
      <c r="AR31" s="66"/>
    </row>
  </sheetData>
  <mergeCells count="5">
    <mergeCell ref="A1:AR1"/>
    <mergeCell ref="O2:X2"/>
    <mergeCell ref="Y2:AH2"/>
    <mergeCell ref="AI2:AQ2"/>
    <mergeCell ref="G2:N2"/>
  </mergeCells>
  <pageMargins left="0.23622047244094491" right="0.23622047244094491" top="0.74803149606299213" bottom="0.74803149606299213" header="0.31496062992125984" footer="0.31496062992125984"/>
  <pageSetup paperSize="9" scale="47"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Tāme Expo 2025</vt:lpstr>
      <vt:lpstr>Atalgojums</vt:lpstr>
      <vt:lpstr>Atalgojums!Print_Area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Lasma Lidaka</dc:creator>
  <cp:keywords/>
  <dc:description/>
  <cp:lastModifiedBy>Anda Paegle</cp:lastModifiedBy>
  <cp:revision/>
  <cp:lastPrinted>2023-10-03T12:20:58Z</cp:lastPrinted>
  <dcterms:created xsi:type="dcterms:W3CDTF">2022-10-11T12:18:19Z</dcterms:created>
  <dcterms:modified xsi:type="dcterms:W3CDTF">2023-10-04T09:27:29Z</dcterms:modified>
  <cp:category/>
  <cp:contentStatus/>
</cp:coreProperties>
</file>