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S:\Akcizes nodokļa mape\ES lietas\CBAM_2021\33.informatīvais_ziņojums_uz_MK\"/>
    </mc:Choice>
  </mc:AlternateContent>
  <xr:revisionPtr revIDLastSave="0" documentId="8_{C4B4CDBE-CD2A-4629-A3BD-E0D2D7E9BC8A}" xr6:coauthVersionLast="47" xr6:coauthVersionMax="47" xr10:uidLastSave="{00000000-0000-0000-0000-000000000000}"/>
  <bookViews>
    <workbookView xWindow="1884" yWindow="744" windowWidth="18240" windowHeight="9792" xr2:uid="{00000000-000D-0000-FFFF-FFFF00000000}"/>
  </bookViews>
  <sheets>
    <sheet name="OIM" sheetId="1" r:id="rId1"/>
    <sheet name="izmaksas" sheetId="3" r:id="rId2"/>
    <sheet name="Atlidz._aprekins" sheetId="4" r:id="rId3"/>
    <sheet name="Šabloni" sheetId="2" state="hidden" r:id="rId4"/>
  </sheets>
  <definedNames>
    <definedName name="_xlnm.Print_Area" localSheetId="0">OIM!$A$3:$J$54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7" i="4" l="1"/>
  <c r="E17" i="4"/>
  <c r="D17" i="4"/>
  <c r="AD18" i="4"/>
  <c r="V18" i="4"/>
  <c r="N19" i="4"/>
  <c r="F19" i="4"/>
  <c r="AB16" i="4"/>
  <c r="AB17" i="4"/>
  <c r="T17" i="4"/>
  <c r="L18" i="4"/>
  <c r="D18" i="4"/>
  <c r="F21" i="4"/>
  <c r="N21" i="4"/>
  <c r="V20" i="4"/>
  <c r="AD20" i="4"/>
  <c r="AB20" i="4"/>
  <c r="T20" i="4"/>
  <c r="L21" i="4"/>
  <c r="D21" i="4"/>
  <c r="E21" i="4" s="1"/>
  <c r="D19" i="4"/>
  <c r="AA17" i="4"/>
  <c r="S17" i="4"/>
  <c r="K18" i="4"/>
  <c r="C18" i="4"/>
  <c r="G27" i="3"/>
  <c r="F27" i="3"/>
  <c r="E27" i="3"/>
  <c r="D12" i="4"/>
  <c r="F13" i="3"/>
  <c r="E13" i="3"/>
  <c r="D13" i="3"/>
  <c r="F14" i="3"/>
  <c r="E14" i="3"/>
  <c r="D14" i="3"/>
  <c r="E15" i="3"/>
  <c r="D15" i="3"/>
  <c r="F16" i="3"/>
  <c r="E16" i="3"/>
  <c r="D16" i="3"/>
  <c r="F17" i="3"/>
  <c r="E17" i="3"/>
  <c r="D17" i="3"/>
  <c r="G18" i="3"/>
  <c r="F18" i="3"/>
  <c r="E18" i="3"/>
  <c r="D18" i="3"/>
  <c r="F19" i="3"/>
  <c r="E19" i="3"/>
  <c r="D19" i="3"/>
  <c r="F20" i="3"/>
  <c r="E20" i="3"/>
  <c r="D20" i="3"/>
  <c r="D22" i="3"/>
  <c r="G23" i="3"/>
  <c r="F23" i="3"/>
  <c r="E23" i="3"/>
  <c r="D23" i="3"/>
  <c r="G24" i="3"/>
  <c r="F24" i="3"/>
  <c r="E24" i="3"/>
  <c r="D24" i="3"/>
  <c r="E25" i="3"/>
  <c r="F29" i="3"/>
  <c r="E29" i="3"/>
  <c r="D29" i="3"/>
  <c r="G16" i="3"/>
  <c r="G15" i="3"/>
  <c r="G14" i="3"/>
  <c r="F25" i="3" l="1"/>
  <c r="G28" i="3" l="1"/>
  <c r="G22" i="3"/>
  <c r="G21" i="3"/>
  <c r="G17" i="3"/>
  <c r="G13" i="3"/>
  <c r="D28" i="3"/>
  <c r="D25" i="3"/>
  <c r="C29" i="3"/>
  <c r="C25" i="3"/>
  <c r="C20" i="3"/>
  <c r="C19" i="3"/>
  <c r="AG6" i="4" l="1"/>
  <c r="L22" i="4" l="1"/>
  <c r="M22" i="4" s="1"/>
  <c r="N22" i="4" s="1"/>
  <c r="K22" i="4"/>
  <c r="D22" i="4"/>
  <c r="E22" i="4" s="1"/>
  <c r="F22" i="4" s="1"/>
  <c r="C22" i="4"/>
  <c r="AB21" i="4"/>
  <c r="AC21" i="4" s="1"/>
  <c r="AD21" i="4" s="1"/>
  <c r="AA21" i="4"/>
  <c r="T21" i="4"/>
  <c r="U21" i="4" s="1"/>
  <c r="V21" i="4" s="1"/>
  <c r="S21" i="4"/>
  <c r="M21" i="4"/>
  <c r="K21" i="4"/>
  <c r="C21" i="4"/>
  <c r="AC20" i="4"/>
  <c r="AA20" i="4"/>
  <c r="U20" i="4"/>
  <c r="S20" i="4"/>
  <c r="M20" i="4"/>
  <c r="N20" i="4" s="1"/>
  <c r="E20" i="4"/>
  <c r="F20" i="4" s="1"/>
  <c r="AD19" i="4"/>
  <c r="AC19" i="4"/>
  <c r="U19" i="4"/>
  <c r="V19" i="4" s="1"/>
  <c r="K19" i="4"/>
  <c r="L19" i="4" s="1"/>
  <c r="M19" i="4" s="1"/>
  <c r="C19" i="4"/>
  <c r="E19" i="4" s="1"/>
  <c r="AA18" i="4"/>
  <c r="AB18" i="4" s="1"/>
  <c r="AC18" i="4" s="1"/>
  <c r="S18" i="4"/>
  <c r="T18" i="4" s="1"/>
  <c r="U18" i="4" s="1"/>
  <c r="K15" i="4"/>
  <c r="K11" i="4" s="1"/>
  <c r="D15" i="4"/>
  <c r="E15" i="4" s="1"/>
  <c r="F15" i="4" s="1"/>
  <c r="C15" i="4"/>
  <c r="AA14" i="4"/>
  <c r="S14" i="4"/>
  <c r="K14" i="4"/>
  <c r="C14" i="4"/>
  <c r="AA13" i="4"/>
  <c r="S13" i="4"/>
  <c r="L13" i="4"/>
  <c r="M13" i="4" s="1"/>
  <c r="N13" i="4" s="1"/>
  <c r="D13" i="4"/>
  <c r="E13" i="4" s="1"/>
  <c r="F13" i="4" s="1"/>
  <c r="AB12" i="4"/>
  <c r="AB13" i="4" s="1"/>
  <c r="T12" i="4"/>
  <c r="T14" i="4" s="1"/>
  <c r="U14" i="4" s="1"/>
  <c r="V14" i="4" s="1"/>
  <c r="L12" i="4"/>
  <c r="L15" i="4" s="1"/>
  <c r="M15" i="4" s="1"/>
  <c r="N15" i="4" s="1"/>
  <c r="D14" i="4"/>
  <c r="F28" i="3"/>
  <c r="C28" i="3"/>
  <c r="G12" i="3"/>
  <c r="F22" i="3"/>
  <c r="E22" i="3"/>
  <c r="F21" i="3"/>
  <c r="E21" i="3"/>
  <c r="D21" i="3"/>
  <c r="C12" i="3"/>
  <c r="F15" i="3"/>
  <c r="C7" i="3"/>
  <c r="C6" i="3" l="1"/>
  <c r="F12" i="3"/>
  <c r="E12" i="3"/>
  <c r="D12" i="3"/>
  <c r="E12" i="4"/>
  <c r="F12" i="4" s="1"/>
  <c r="C11" i="4"/>
  <c r="C17" i="4" s="1"/>
  <c r="C16" i="4" s="1"/>
  <c r="AA11" i="4"/>
  <c r="AA16" i="4" s="1"/>
  <c r="AA15" i="4" s="1"/>
  <c r="AA10" i="4" s="1"/>
  <c r="S11" i="4"/>
  <c r="S16" i="4" s="1"/>
  <c r="S15" i="4" s="1"/>
  <c r="S10" i="4" s="1"/>
  <c r="L14" i="4"/>
  <c r="M14" i="4" s="1"/>
  <c r="N14" i="4" s="1"/>
  <c r="AB14" i="4"/>
  <c r="AC14" i="4" s="1"/>
  <c r="AD14" i="4" s="1"/>
  <c r="D11" i="4"/>
  <c r="E14" i="4"/>
  <c r="F14" i="4" s="1"/>
  <c r="K17" i="4"/>
  <c r="K16" i="4" s="1"/>
  <c r="K10" i="4" s="1"/>
  <c r="AC13" i="4"/>
  <c r="AD13" i="4" s="1"/>
  <c r="T13" i="4"/>
  <c r="U13" i="4" s="1"/>
  <c r="V13" i="4" s="1"/>
  <c r="M12" i="4"/>
  <c r="M18" i="4"/>
  <c r="N18" i="4" s="1"/>
  <c r="O22" i="4" s="1"/>
  <c r="AC17" i="4"/>
  <c r="AD17" i="4" s="1"/>
  <c r="AE21" i="4" s="1"/>
  <c r="U12" i="4"/>
  <c r="U17" i="4"/>
  <c r="V17" i="4" s="1"/>
  <c r="W21" i="4" s="1"/>
  <c r="E18" i="4"/>
  <c r="F18" i="4" s="1"/>
  <c r="G22" i="4" s="1"/>
  <c r="AC12" i="4"/>
  <c r="D11" i="3" l="1"/>
  <c r="E11" i="3"/>
  <c r="AG22" i="4"/>
  <c r="E28" i="3"/>
  <c r="C10" i="4"/>
  <c r="AB11" i="4"/>
  <c r="AB15" i="4" s="1"/>
  <c r="AB10" i="4" s="1"/>
  <c r="L11" i="4"/>
  <c r="L17" i="4" s="1"/>
  <c r="L16" i="4" s="1"/>
  <c r="L10" i="4" s="1"/>
  <c r="T11" i="4"/>
  <c r="T16" i="4" s="1"/>
  <c r="T15" i="4" s="1"/>
  <c r="T10" i="4" s="1"/>
  <c r="F11" i="4"/>
  <c r="D16" i="4"/>
  <c r="D10" i="4" s="1"/>
  <c r="N12" i="4"/>
  <c r="N11" i="4" s="1"/>
  <c r="M11" i="4"/>
  <c r="AC11" i="4"/>
  <c r="AD12" i="4"/>
  <c r="AD11" i="4" s="1"/>
  <c r="E11" i="4"/>
  <c r="U11" i="4"/>
  <c r="V12" i="4"/>
  <c r="V11" i="4" s="1"/>
  <c r="G11" i="4" l="1"/>
  <c r="G10" i="3"/>
  <c r="F10" i="3"/>
  <c r="E16" i="4"/>
  <c r="E10" i="4" s="1"/>
  <c r="M17" i="4"/>
  <c r="M16" i="4" s="1"/>
  <c r="M10" i="4" s="1"/>
  <c r="O11" i="4"/>
  <c r="N17" i="4"/>
  <c r="AD16" i="4"/>
  <c r="AE11" i="4"/>
  <c r="F16" i="4"/>
  <c r="F10" i="4" s="1"/>
  <c r="G17" i="4"/>
  <c r="V16" i="4"/>
  <c r="W11" i="4"/>
  <c r="U16" i="4"/>
  <c r="U15" i="4" s="1"/>
  <c r="U10" i="4" s="1"/>
  <c r="AC16" i="4"/>
  <c r="AC15" i="4" s="1"/>
  <c r="AC10" i="4" s="1"/>
  <c r="E9" i="3" l="1"/>
  <c r="D9" i="3"/>
  <c r="AG11" i="4"/>
  <c r="V15" i="4"/>
  <c r="V10" i="4" s="1"/>
  <c r="W17" i="4"/>
  <c r="AE17" i="4"/>
  <c r="AD15" i="4"/>
  <c r="AD10" i="4" s="1"/>
  <c r="N16" i="4"/>
  <c r="N10" i="4" s="1"/>
  <c r="O17" i="4"/>
  <c r="D10" i="3" l="1"/>
  <c r="D8" i="3" s="1"/>
  <c r="D7" i="3" s="1"/>
  <c r="AG10" i="4"/>
  <c r="E10" i="3"/>
  <c r="E8" i="3" s="1"/>
  <c r="E7" i="3" s="1"/>
  <c r="E6" i="3" s="1"/>
  <c r="AG17" i="4"/>
  <c r="G11" i="3" s="1"/>
  <c r="G9" i="3"/>
  <c r="F9" i="3"/>
  <c r="D6" i="3" l="1"/>
  <c r="F11" i="3"/>
  <c r="F8" i="3" s="1"/>
  <c r="F7" i="3" s="1"/>
  <c r="F6" i="3" s="1"/>
  <c r="G8" i="3"/>
  <c r="G7" i="3" s="1"/>
  <c r="G6" i="3" s="1"/>
</calcChain>
</file>

<file path=xl/sharedStrings.xml><?xml version="1.0" encoding="utf-8"?>
<sst xmlns="http://schemas.openxmlformats.org/spreadsheetml/2006/main" count="368" uniqueCount="246">
  <si>
    <t>A</t>
  </si>
  <si>
    <t>B</t>
  </si>
  <si>
    <t>D</t>
  </si>
  <si>
    <t>E</t>
  </si>
  <si>
    <t>F</t>
  </si>
  <si>
    <t>G</t>
  </si>
  <si>
    <t>papildus nepieciešamais valsts budžeta finansējums</t>
  </si>
  <si>
    <t>Darbības rezultāts</t>
  </si>
  <si>
    <t>Darbības rezultatīvais rādītājs</t>
  </si>
  <si>
    <t>(nosaukums)</t>
  </si>
  <si>
    <t xml:space="preserve">Kods: </t>
  </si>
  <si>
    <t>Nr.</t>
  </si>
  <si>
    <t>ieguldījuma teritorija 
(vietējā pašvaldība)</t>
  </si>
  <si>
    <t>xx_xx_x_x</t>
  </si>
  <si>
    <t>objekta veids</t>
  </si>
  <si>
    <t xml:space="preserve">veicamā darbība </t>
  </si>
  <si>
    <t>Prioritārā pasākuma mērķis:</t>
  </si>
  <si>
    <t>Prioritārā pasākuma apraksts:</t>
  </si>
  <si>
    <t>Prioritārā pasākuma pieteikums vidējam termiņam</t>
  </si>
  <si>
    <t xml:space="preserve">Prioritārā pasākuma nosaukums: </t>
  </si>
  <si>
    <t>Prioritārā pasākuma rādītāji un pamatojums</t>
  </si>
  <si>
    <t>(amats)</t>
  </si>
  <si>
    <t>Valdības rīcības plāns:</t>
  </si>
  <si>
    <t>finansējums tiks rasts ministrijas budžeta ietvaros</t>
  </si>
  <si>
    <t>Prioritārā pasākuma raksturojošākie darbības rezultāti un to rezultatīvie rādītāji</t>
  </si>
  <si>
    <t>Ja kapitālie izdevumi ir saistīti ar ēkas, būves, zemes, inženiertehniskās un tehnoloģiskās iekārtas, specializētās iekārtas vai operatīvā transporta iegādi, būvniecību vai atjaunošanu, norāda:</t>
  </si>
  <si>
    <r>
      <t>(datums</t>
    </r>
    <r>
      <rPr>
        <vertAlign val="superscript"/>
        <sz val="9"/>
        <rFont val="Times New Roman"/>
        <family val="1"/>
        <charset val="186"/>
      </rPr>
      <t>2</t>
    </r>
    <r>
      <rPr>
        <sz val="9"/>
        <rFont val="Times New Roman"/>
        <family val="1"/>
        <charset val="186"/>
      </rPr>
      <t>)</t>
    </r>
  </si>
  <si>
    <t>5.2. Strukturālo reformu īstenošana:</t>
  </si>
  <si>
    <t>5.1. Ietekme uz tautsaimniecību, tai skaitā nacionālo drošību, un ekonomiskās izaugsmes veicināšanu:</t>
  </si>
  <si>
    <t>(tālrunis, elektroniskā pasta adrese)</t>
  </si>
  <si>
    <t>Atbilstība vidēja termiņa budžeta ietvara likumā noteiktajiem budžeta mērķiem un prioritārajiem attīstības virzieniem:</t>
  </si>
  <si>
    <t>Ietekme uz tautsaimniecību</t>
  </si>
  <si>
    <t>Reformas</t>
  </si>
  <si>
    <t>Reformas tiek īstenotas</t>
  </si>
  <si>
    <t>Reformas netiek īstenotas</t>
  </si>
  <si>
    <t>Valsts prezidenta kanceleja</t>
  </si>
  <si>
    <t>Saeima</t>
  </si>
  <si>
    <t>Ministru kabinets</t>
  </si>
  <si>
    <t>Korupcijas novēršanas un apkarošanas birojs</t>
  </si>
  <si>
    <t>Tiesībsarga birojs</t>
  </si>
  <si>
    <t>Sabiedrības integrācijas fonds</t>
  </si>
  <si>
    <t>Sabiedrisko pakalpojumu regulēšanas komisija</t>
  </si>
  <si>
    <t>Aizsardzības ministrija</t>
  </si>
  <si>
    <t>Ārlietu ministrija</t>
  </si>
  <si>
    <t>Ekonomikas ministrija</t>
  </si>
  <si>
    <t>Finanšu ministrija</t>
  </si>
  <si>
    <t>Iekšlietu ministrija</t>
  </si>
  <si>
    <t>Izglītības un zinātnes ministrija</t>
  </si>
  <si>
    <t>Zemkopības ministrija</t>
  </si>
  <si>
    <t>Satiksmes ministrija</t>
  </si>
  <si>
    <t>Labklājības ministrija</t>
  </si>
  <si>
    <t>Tieslietu ministrija</t>
  </si>
  <si>
    <t>Vides aizsardzības un reģionālās attīstības ministrija</t>
  </si>
  <si>
    <t>Kultūras ministrija</t>
  </si>
  <si>
    <t>Valsts kontrole</t>
  </si>
  <si>
    <t>Pārresoru koordinācijas centrs</t>
  </si>
  <si>
    <t>Augstākā tiesa</t>
  </si>
  <si>
    <t>Veselības ministrija</t>
  </si>
  <si>
    <t>Satversmes tiesa</t>
  </si>
  <si>
    <t>Prokuratūra</t>
  </si>
  <si>
    <t>Centrālā vēlēšanu komisija</t>
  </si>
  <si>
    <t>Centrālā zemes komisija</t>
  </si>
  <si>
    <t>Radio un televīzija</t>
  </si>
  <si>
    <t>Ietekme uz tautsaimniecību ir tieša / pastarpināta/ nav attiecināma</t>
  </si>
  <si>
    <t>Iestādes</t>
  </si>
  <si>
    <t>Reformas tiek / netiek īstenotas</t>
  </si>
  <si>
    <t>Ministrija vai cita centrālā valsts iestāde:</t>
  </si>
  <si>
    <t>Ietekme ir tieša</t>
  </si>
  <si>
    <t>Ietekme ir pastarpināta</t>
  </si>
  <si>
    <t>Nav attiecināms</t>
  </si>
  <si>
    <t xml:space="preserve">Attīstības plānošanas dokumenti un normatīvie akti, kuros ir minēti attiecīgie politikas rezultatīvie rādītāji:
</t>
  </si>
  <si>
    <t xml:space="preserve">Prioritārā pasākuma būtiskākie politikas rezultatīvie rādītāji (tai skaitā to mērvienība), uz kuru sasniegšanu ir vērsts prioritārais pasākums:
</t>
  </si>
  <si>
    <t>1.</t>
  </si>
  <si>
    <t>2.</t>
  </si>
  <si>
    <t>3.</t>
  </si>
  <si>
    <t>4.</t>
  </si>
  <si>
    <t>5.</t>
  </si>
  <si>
    <t>6.</t>
  </si>
  <si>
    <t>7.</t>
  </si>
  <si>
    <t>8.</t>
  </si>
  <si>
    <t>9.</t>
  </si>
  <si>
    <t>10.</t>
  </si>
  <si>
    <t>veicamās darbības:</t>
  </si>
  <si>
    <t>Iegāde</t>
  </si>
  <si>
    <t>Būvniecība</t>
  </si>
  <si>
    <t>Atjaunošana</t>
  </si>
  <si>
    <t>Jā</t>
  </si>
  <si>
    <t>Nē</t>
  </si>
  <si>
    <t>Vai pēdējo 3 gadu laikā ir bijis piešķirts finansējums šādam mērķim?</t>
  </si>
  <si>
    <r>
      <t>(vārds, uzvārds)                                                          (paraksts</t>
    </r>
    <r>
      <rPr>
        <vertAlign val="superscript"/>
        <sz val="8"/>
        <rFont val="Times New Roman"/>
        <family val="1"/>
        <charset val="186"/>
      </rPr>
      <t>2</t>
    </r>
    <r>
      <rPr>
        <sz val="9"/>
        <rFont val="Times New Roman"/>
        <family val="1"/>
        <charset val="186"/>
      </rPr>
      <t>)</t>
    </r>
  </si>
  <si>
    <t>Izdevumi kopā sadalījumā pa finansēšanas avotiem:</t>
  </si>
  <si>
    <t>Turpmākā laikposmā līdz pasākuma pabeigšanai (ja tas ir terminēts)</t>
  </si>
  <si>
    <t>Turpmāk katru gadu (ja pasākums nav terminēts)</t>
  </si>
  <si>
    <t>Pasākuma pabeigšanas gads (ja tas ir terminēts)</t>
  </si>
  <si>
    <t xml:space="preserve">Izdevumi kopā, euro </t>
  </si>
  <si>
    <t>tai skaitā atlīdzība</t>
  </si>
  <si>
    <r>
      <t>Ieņēmumi kopā, euro</t>
    </r>
    <r>
      <rPr>
        <b/>
        <vertAlign val="superscript"/>
        <sz val="8"/>
        <rFont val="Times New Roman"/>
        <family val="1"/>
        <charset val="186"/>
      </rPr>
      <t>1</t>
    </r>
  </si>
  <si>
    <r>
      <t xml:space="preserve">Piezīmes.
</t>
    </r>
    <r>
      <rPr>
        <vertAlign val="superscript"/>
        <sz val="8"/>
        <rFont val="Times New Roman"/>
        <family val="1"/>
        <charset val="186"/>
      </rPr>
      <t>1</t>
    </r>
    <r>
      <rPr>
        <sz val="8"/>
        <rFont val="Times New Roman"/>
        <family val="1"/>
        <charset val="186"/>
      </rPr>
      <t xml:space="preserve"> Norāda prognozēto kopējo ieņēmumu izmaiņas prioritārajam pasākumam, kura īstenošana ir vērsta uz jauna veida nodokļu vai nenodokļu ieņēmumu veidu radīšanu vai ieņēmumu no esoša ieņēmumu veida apmēra izmaiņām. Pārējās ieņēmumu izmaiņas no prioritārā pasākuma īstenošanas nenosaka.  
</t>
    </r>
    <r>
      <rPr>
        <vertAlign val="superscript"/>
        <sz val="8"/>
        <rFont val="Times New Roman"/>
        <family val="1"/>
        <charset val="186"/>
      </rPr>
      <t>2</t>
    </r>
    <r>
      <rPr>
        <sz val="8"/>
        <rFont val="Times New Roman"/>
        <family val="1"/>
        <charset val="186"/>
      </rPr>
      <t xml:space="preserve"> Dokumenta rekvizītus "paraksts" un "datums" neaizpilda, ja elektroniskais dokuments ir sagatavots atbilstoši normatīvajiem aktiem par elektronisko dokumentu noformēšanu.”.</t>
    </r>
  </si>
  <si>
    <t>2024. gads</t>
  </si>
  <si>
    <t>2025. gads</t>
  </si>
  <si>
    <t>2026. gads</t>
  </si>
  <si>
    <t>Ar prioritārā pasākuma ieviešanu saistītās amata vietu skaita izmaiņas (+/-) pret 2023. gadu</t>
  </si>
  <si>
    <t>Oglekļa ievedkorekcijas mehānisma piemērošana Latvijā</t>
  </si>
  <si>
    <t xml:space="preserve">Deklarācijas par Artura Krišjāņa Kariņa vadītā Ministru kabineta iecerēto darbību sadaļa un rīcības joma: III. ENERĢĒTIKA, KLIMATS UN VIDE Klimats un vide; deklarācijā dotais uzdevums Nr.107: Vispusīgi un sociāli taisnīgi ieviesīsim Eiropas zaļo kursu, virzoties uz klimatneitralitātes sasniegšanu līdz 2050. gadam, Eiropas zaļā kursa pakotnē noteikto mērķu un "Gatavi mērķrādītājam 55%" ("Fit for 55") klimata mērķu īstenošanu, ņemot vērā valsts attīstības mērķus un sociālo drošību, par prioritāti izvirzot Latvijas konkurētspēju reģionā un sabalansētas un ilgtspējīgas tautsaimniecības attīstību. Nodrošināsim zinātnē balstītu lēmumu pieņemšanu, regulāru sabiedrības līdzdalību un mehānismus publiskā finansējuma izsekojamībai Eiropas zaļā kursa mērķu sasniegšanā.
</t>
  </si>
  <si>
    <t>Realizējot prioritāro pasākumu, tiks aizsargāts, saglabāts un stiprināts ES, t.sk. Latvijas, dabas kapitāls un aizsargāta iedzīvotāju veselība un labklājība no riska faktoriem un ietekmes, kas saistīti ar vidi.</t>
  </si>
  <si>
    <t>2020.gada 28.janvārī MK apstiprinātā “Latvijas stratēģija klimatneitralitātes sasniegšanai līdz 2050. gadam”</t>
  </si>
  <si>
    <t xml:space="preserve"> Latvijas klimatneitralitāte 2050. gadā. Stratēģiskie mērķi:
1) SEG emisiju samazināšana visos tautsaimniecības sektoros;
2) CO2 piesaistes palielināšana</t>
  </si>
  <si>
    <t>Pārbaudīto deklarāciju skaits</t>
  </si>
  <si>
    <t>Muitas deklarāciju pārbaudes, laižot brīvam apgrozījumam OIM regulējumam pakļautās preces</t>
  </si>
  <si>
    <t>Atzīto OIM deklarētāju skaits</t>
  </si>
  <si>
    <t>Deklarētāja informēšana muitas deklarācijas iesniegšanas brīdī par pienākumu iesniegt ceturkšņa ziņojumu EK</t>
  </si>
  <si>
    <t>OIM sertifikātu izsniegšana, nodošana, pārdošana, atpirkšana, anulēšana, uzskaite un uzskaite izmantojot OIM reģistru, konkrētām precēm</t>
  </si>
  <si>
    <t>vidēji par 30 deklarācijām dienā vai 1000 komersantiem</t>
  </si>
  <si>
    <t>Apstrādāto ziņojumu skaits</t>
  </si>
  <si>
    <t>Komersantu ziņojumu izskatīšana pēc EK pieprasījuma (saziņa ar komersantiem, lai novērstu neatbilstības ziņojumos)</t>
  </si>
  <si>
    <t>Atzītā OIM deklarētāja statusa uzraudzība, t.sk., sertifikātu skaita nodrošināšana, anulēšana (sadarbībā ar EK), pārbaudes, pārkāpumu izmeklēšana - OIM deklarētāja gada deklarācijas par importētajām precēm iegultajām emisijām pārbaude, nodoto OIM sertifikātu, kas atbilst šīm deklarētajām emisijām, pārbaude, pieprasījumu par OIM sertifikātu skaita samazinājumu par oglekļa cenu, kas citur maksāta par šīm emisijām, pārbaude, sodu piemērošana par pārkāpumiem</t>
  </si>
  <si>
    <t>Atzītā OIM deklarētāja statusa piešķiršana - iesniegumu izskatīšana un pārbaude, reģistrācija vai atteikumu sagatavošana (t.sk. ziņošana citām dalībvalstīm)</t>
  </si>
  <si>
    <t>Izskatīto un apstrādāto iesniegumu skaits</t>
  </si>
  <si>
    <t>Pārbaužu skaits atzītā OIM deklarētāja statusa piešķiršanai</t>
  </si>
  <si>
    <t>Paziņojumu skaits</t>
  </si>
  <si>
    <t>Ierakstu OIM reģistrā skaits</t>
  </si>
  <si>
    <t>Pārbaude atzītā OIM deklarētāja statusa uzraudzībai 2027.gadā par 2026.gadu (skaits)</t>
  </si>
  <si>
    <t>OIM deklarāciju pārbaudes 2027.gadā par 2026.gadu (skaits)</t>
  </si>
  <si>
    <t>Oglekļa ievedkorekcijas mehānisma ieviešanai IS izstrāde un uzturēšana, papildus amata vietu izveide un uzturēšana</t>
  </si>
  <si>
    <t>Pozīcija</t>
  </si>
  <si>
    <t xml:space="preserve">Vienreizējie izdevumi (EUR) </t>
  </si>
  <si>
    <t>2024.gada izdevumi (EUR)</t>
  </si>
  <si>
    <t>2025.gada izdevumi (EUR)</t>
  </si>
  <si>
    <t>Izdevumi turpmāk ik gadu (EUR)</t>
  </si>
  <si>
    <t>Piezīmes</t>
  </si>
  <si>
    <t>Amata vietu skaits</t>
  </si>
  <si>
    <t>Kopā</t>
  </si>
  <si>
    <t>EKK 1000 Atlīdzība</t>
  </si>
  <si>
    <t>Atlīdzība</t>
  </si>
  <si>
    <t>1.1.</t>
  </si>
  <si>
    <t>Mēnešalga un piemaksas</t>
  </si>
  <si>
    <t>1.2.</t>
  </si>
  <si>
    <t>Sociālās garantijas</t>
  </si>
  <si>
    <t>1.3.</t>
  </si>
  <si>
    <t>Darba devēja VSAOI, 23,59%</t>
  </si>
  <si>
    <t>EKK 2000 Preces un pakalpojumi</t>
  </si>
  <si>
    <t>Komunālo pakalpojumu nodrošināšana</t>
  </si>
  <si>
    <t>Apmācības</t>
  </si>
  <si>
    <t>Mācību izmaksas 150 EUR vienam darbiniekam gadā</t>
  </si>
  <si>
    <t>Kanceleja (kancelejas preces, biroja papīrs)</t>
  </si>
  <si>
    <t>1,50 EUR limits gadā uz vienu amata vietu
4,47 EUR Biroja papīra iegāde uz vienu amata vietu gadā</t>
  </si>
  <si>
    <t>Stacionārā pieslēguma nodrošināšana</t>
  </si>
  <si>
    <t>Vidējās izmaksas mēnesī 0,74 EUR</t>
  </si>
  <si>
    <t>Mobilā pieslēguma nodrošināšana</t>
  </si>
  <si>
    <t>Vidējās izmaksas mēnesī 4,72 EUR</t>
  </si>
  <si>
    <t>Formas tērpu iegāde</t>
  </si>
  <si>
    <t>Vidējās viena MP biroja darbinieka formas tērpa komplekta izmaksas 1 995,00 EUR.</t>
  </si>
  <si>
    <t>Galdu iegāde</t>
  </si>
  <si>
    <t>Vidējā vienas vienības cena 439 EUR. Vienreizēji izdevumi</t>
  </si>
  <si>
    <t>Krēslu iegāde</t>
  </si>
  <si>
    <t>Vidējā vienas vienības cena 367 EUR. Vienreizējie izdevumi</t>
  </si>
  <si>
    <t>Degviela</t>
  </si>
  <si>
    <r>
      <t xml:space="preserve">Izmaksas aprēķinātas, ņemot vērā viena transportlīdzekļa noteikto nobraukuma normu 6,50 litri uz 100 km un pašreizējo degvielas tirgus cenu 1,574 EUR/l. </t>
    </r>
    <r>
      <rPr>
        <u/>
        <sz val="10"/>
        <color theme="1"/>
        <rFont val="Arial"/>
        <family val="2"/>
        <charset val="186"/>
      </rPr>
      <t>Tādējādi 100 km izmaksas ir 10,231 EUR.</t>
    </r>
    <r>
      <rPr>
        <sz val="10"/>
        <rFont val="Arial"/>
        <charset val="186"/>
      </rPr>
      <t xml:space="preserve"> 
Prognozētais nobraukums mēnesī - 500 km.
</t>
    </r>
    <r>
      <rPr>
        <u/>
        <sz val="10"/>
        <color theme="1"/>
        <rFont val="Arial"/>
        <family val="2"/>
        <charset val="186"/>
      </rPr>
      <t>Aprēķins 500 km:</t>
    </r>
    <r>
      <rPr>
        <sz val="10"/>
        <rFont val="Arial"/>
        <charset val="186"/>
      </rPr>
      <t xml:space="preserve"> 
500 km * 6,50/100 = 32,50 litri
32,50 * 1,574 = 51,16 EUR</t>
    </r>
  </si>
  <si>
    <t>11.</t>
  </si>
  <si>
    <t>Pārējie transportlīdzekļa uzturēšanas izdevumi (noma + mazgāšana)</t>
  </si>
  <si>
    <t xml:space="preserve">Viena transportlīdzekļa nomas maksa mēnesī 433,50 EUR.
Viena transportlīdzekļa mazgāšana un salona tīrīšana 24,20 EUR/vidēji 1 reize 2 mēnešos. </t>
  </si>
  <si>
    <t>12.</t>
  </si>
  <si>
    <t xml:space="preserve">Izdevumi par standartprogrammatūras (Microsoft) licenšu nomu </t>
  </si>
  <si>
    <t>Licenču izmaksas gadā (kopā - 301,73 EUR):
MS Core CAL licence - 21,49 EUR
MS Teams u.c. Web cloud aplikācijas - 72,60 EUR
MS Office 365 licence - 138,09 EUR
MS Windows Enterprise licence - 69,55 EUR</t>
  </si>
  <si>
    <t>13.</t>
  </si>
  <si>
    <t xml:space="preserve">Datortehnikas piederumi </t>
  </si>
  <si>
    <t xml:space="preserve">Vidējās izmaksas gadā 37 EUR vienai amata vietai </t>
  </si>
  <si>
    <t>14.</t>
  </si>
  <si>
    <t xml:space="preserve">Monitoru iegāde </t>
  </si>
  <si>
    <t>Pēdējā pasūtījuma 2023.gada jūnijā vienas vienības cena 175 EUR. Vienreizējie izdevumi.</t>
  </si>
  <si>
    <t>15.</t>
  </si>
  <si>
    <t>Informēšanas kampaņa</t>
  </si>
  <si>
    <t>Vienreizējie izdevumi</t>
  </si>
  <si>
    <t>16.</t>
  </si>
  <si>
    <t>Sistēmas uzturēšana</t>
  </si>
  <si>
    <t>10% no izstrādes izmaksām</t>
  </si>
  <si>
    <t>EKK 5000 Kapitālie izdevumi</t>
  </si>
  <si>
    <t>17.</t>
  </si>
  <si>
    <t>Datoru iegāde</t>
  </si>
  <si>
    <t>Vienreizējie izdevumi
Vidējā vienas vienības cena 1 200 EUR</t>
  </si>
  <si>
    <t>18.</t>
  </si>
  <si>
    <t>Sistēmas izstrāde</t>
  </si>
  <si>
    <t>Papildus amata vietu izveide oglekļa ievedkorekcijas mehānisma ieviešanai</t>
  </si>
  <si>
    <t>Muitas pārvalde</t>
  </si>
  <si>
    <t>Informātikas pārvalde</t>
  </si>
  <si>
    <t>amata vietu skaits KOPĀ</t>
  </si>
  <si>
    <t>Vecākais muitas eksperts (28.3.saime,  V līmenis, 10.mēnešalgu grupa)</t>
  </si>
  <si>
    <t>Daļas vadītājs (28.3.saime, VII līmenis, 12.mēnešalgu grupa)</t>
  </si>
  <si>
    <t>Sistēmanalītiķis (21.4.saime,  III līmenis, 11.mēnešalgu grupa)</t>
  </si>
  <si>
    <t>Koeficients</t>
  </si>
  <si>
    <t>Ekonomiskās klasifikācijas kods</t>
  </si>
  <si>
    <t>Ekonomiskās klasifikācijas nosaukums</t>
  </si>
  <si>
    <t>1 amata vieta mēnesī, EUR (bez koeficienta)</t>
  </si>
  <si>
    <t>1 amata vieta mēnesī, EUR</t>
  </si>
  <si>
    <t>1 amata vieta gadā, EUR</t>
  </si>
  <si>
    <t>amata vietas gadā, EUR</t>
  </si>
  <si>
    <t>amata vieta gadā, EUR</t>
  </si>
  <si>
    <t>Finansējums KOPĀ gadā, EUR</t>
  </si>
  <si>
    <t>1000</t>
  </si>
  <si>
    <t>Atlīdzība kopā</t>
  </si>
  <si>
    <t>Atalgojums</t>
  </si>
  <si>
    <t>1100</t>
  </si>
  <si>
    <t>Atalgojums kopā</t>
  </si>
  <si>
    <t>1115</t>
  </si>
  <si>
    <t>Specializētā valsts civildienesta ierēdņu mēnešalga</t>
  </si>
  <si>
    <t>1119</t>
  </si>
  <si>
    <t>Pārējo darbinieku mēnešalga (darba alga)</t>
  </si>
  <si>
    <t>1143</t>
  </si>
  <si>
    <t>Piemaksas par speciālo dienesta pakāpi</t>
  </si>
  <si>
    <t>1148</t>
  </si>
  <si>
    <t>Prēmijas un naudas balvas (10% no mēnešalgas)</t>
  </si>
  <si>
    <t>1149</t>
  </si>
  <si>
    <t>Piemaksa par nozīmīgu ieguldījumu institūcijas stratēģisko mērķu sasniegšanā (10% no mēnešalgas)</t>
  </si>
  <si>
    <t>1200</t>
  </si>
  <si>
    <t>Darba devēja valsts sociālās apdrošināšanas obligātās iemaksas, pabalsti un kompensācijas kopā</t>
  </si>
  <si>
    <t>darba devēja VSAOI</t>
  </si>
  <si>
    <t>1210</t>
  </si>
  <si>
    <t>Darba devēja valsts sociālās apdrošināšanas obligātās iemaksas (23,59%)</t>
  </si>
  <si>
    <t>12211</t>
  </si>
  <si>
    <t>12214</t>
  </si>
  <si>
    <t>Pabalsti darbinieka ģimenes locekļa vai apgādājamā nāves gadījumā virs EUR 250,00 (obligāti maksājamais pabalsts - Atlīdzības likuma 20.pants)</t>
  </si>
  <si>
    <t>1227</t>
  </si>
  <si>
    <t>12282</t>
  </si>
  <si>
    <t>Pabalsts darbinieka nāves gadījumā vai viņa ģimenes locekļa vai apgādājamā nāves gadījumā summā līdz EUR 250 (obligāti maksājamais pabalsts - Atlīdzības likuma 20.pants)</t>
  </si>
  <si>
    <t>12286</t>
  </si>
  <si>
    <t>Optisko redzes korekcijas līdzekļu iegādes kompensācija (obligātais maksājums - MK 06.08.2002.noteikumi Nr. 343 14.punkts)</t>
  </si>
  <si>
    <t>Finanšu rādītāji, informācija par amata vietām</t>
  </si>
  <si>
    <t>16</t>
  </si>
  <si>
    <t xml:space="preserve">67120250, linda.gudlevska@vid.gov.lv </t>
  </si>
  <si>
    <t>Linda Gudļevska</t>
  </si>
  <si>
    <t>2026.gada izdevumi (EUR)</t>
  </si>
  <si>
    <t>7</t>
  </si>
  <si>
    <t>11</t>
  </si>
  <si>
    <t>Sagatavoja: 
Valsts ieņēmumu dienesta Finanšu pārvaldes Budžeta administrēšanas daļas vadītāja vietnieks</t>
  </si>
  <si>
    <t xml:space="preserve">1 amata vietas uzturēšana:
* 2024.gadā, 2025.gadā un turpmāk ik gadu Talejas iela 1, Rīga - 119 EUR/mēn (ūdens un elektrības izdevumi). 
Apsaimniekošanas izdevumi ir iekļauti Talejas ielas 1, Rīgā nomas maksā, tāpēc pie amata vietu uzturēšanas izdevumiem tie nav norādīti. </t>
  </si>
  <si>
    <t>Informācijas sistēmu administrators (21.5.saime,  IV līmenis, 11.mēnešalgu grupa)</t>
  </si>
  <si>
    <t>Darba devēja izdevumi veselības, dzīvības un nelaimes gadījumu apdrošināšanai (Atlīdzības likuma 37.panta 1.daļa)  (nepārsniedzot 5% no mēnešalgas)</t>
  </si>
  <si>
    <t>Pabalsts, aizejot ikgadējā apmaksātā atvaļinājumā (nepārsniedzot 5% no mēnešalgas)</t>
  </si>
  <si>
    <t>2024.gada viduspunkts</t>
  </si>
  <si>
    <t>31.08.2023.</t>
  </si>
  <si>
    <r>
      <t xml:space="preserve">Cita būtiska informācija </t>
    </r>
    <r>
      <rPr>
        <sz val="9"/>
        <rFont val="Times New Roman"/>
        <family val="1"/>
        <charset val="186"/>
      </rPr>
      <t xml:space="preserve">(piemēram, papildu skaidrojums par ministrijas iespējām līdzfinansēt pasākumu no ministrijas budžeta (pārskatot citas aktivitātes); ES prasību nodrošināšana; tiesvedības riski; iespējas līdzfinansēt no ES fondiem; informācija par apstiprinātiem normatīvajiem aktiem, kas jāfinansē no valsts budžeta, kā arī atbilstība Ministru kabineta rīkojumiem un protokollēmumiem attiecībā uz pieprasīto finansējumu; detalizēti aprēķini, tai skaitā par izdevumiem, vai atsauce uz atbilstošo pamatojošo dokumentu, kurā pieejami attiecīgie aprēķini; skaidrojums par amata vietu skaita izmaiņām):
</t>
    </r>
    <r>
      <rPr>
        <b/>
        <sz val="9"/>
        <rFont val="Times New Roman"/>
        <family val="1"/>
        <charset val="186"/>
      </rPr>
      <t xml:space="preserve">
</t>
    </r>
    <r>
      <rPr>
        <sz val="11"/>
        <rFont val="Times New Roman"/>
        <family val="1"/>
        <charset val="186"/>
      </rPr>
      <t>Saskaņā ar Ministru kabineta noteikumu Nr.817 "Klimata un enerģētikas ministrijas nolikums" 1.punktu Klimata un enerģētikas ministrija ir vadošā valsts pārvaldes iestāde klimata politikas un enerģētikas politikas jomā, savukārt saskaņā ar Ministru kabineta noteikumu Nr.434 "Vides aizsardzības un reģionālās attīstības ministrijas nolikums" 1.punktu vadošā valsts pārvaldes iestāde vides aizsardzības jomā ir Vides aizsardzības un reģionālās attīstības ministrija.
Būtiski, lai jomas politikas veidošanas un nacionālo normatīvo aktu izstrādes procesu, t.sk, oglekļa ievedkorekcijas mehānisma piemērošanai, par nozari atbildīgās ministrijas savlaicīgi uzsāktu, atbilstoši koordinētu un savstarpēji saskaņotu starp nozares ministriju un nacionālo KI OIM regulas kontekstā.
Vienlaikus KI jānodrošina līdzdalība īstenošanas normatīvo aktu izstrādē attiecīgā Eiropas Komisijas komitejā un dalība ekspertu darba grupās.
Oglekļa ievedkorekcijas mehānisma piemērošana nodrošinās papildu valsts budžeta ieņēmumus (25% apmērā no iemaksātās summas), bet potenciālie ieņēmumi šobrīd nav aprēķināmi.</t>
    </r>
    <r>
      <rPr>
        <sz val="10"/>
        <rFont val="Times New Roman"/>
        <family val="1"/>
        <charset val="186"/>
      </rPr>
      <t xml:space="preserve">
</t>
    </r>
    <r>
      <rPr>
        <b/>
        <sz val="9"/>
        <rFont val="Times New Roman"/>
        <family val="1"/>
        <charset val="186"/>
      </rPr>
      <t xml:space="preserve">
</t>
    </r>
  </si>
  <si>
    <t>Eiropas Parlamenta un Padomes Regula 2023/956/ES, ar ko izveido oglekļa ievedkorekcijas mehānismu (turpmāk – OIM regula),  ir pieņemta 2023.gada 10.maijā, stāsies spēkā 2023.gada 1.oktobrī un būs tieši piemērojama visās dalībvalstīs.
Regulas mērķis ir veicināt atsevišķu nozaru produktu iekšējā tirgus aizsardzību, kā arī ārējās tirdzniecības konkurētspējas uzlabošanu, salīdzinot ar tādiem trešo valstu tirgiem, kur šo produktu ražošanai netiek prasītas papildus investīcijas siltumnīcefekta gāzu samazināšanai, līdz ar ko šo emisiju cena netiek iekļauta produktu cenā. OIM tiks attiecināts uz specifiskām nozarēm (cements, mēslošanas līdzekļi, dzelzs un tērauds, alumīnijs, ūdeņradis un elektroenerģijas ražošana) jeb tām nozarēm, kuras ir visvairāk oglekļa ietilpīgas un kurās ir augstākais oglekļa emisiju pārvirzes risks (risk of carbon leakage). 
Papildus OIM regulā noteiktajiem muitas administrāciju pienākumiem, dalībvalstīm ir jāizraugās kompetentā iestāde (turpmāk - KI), kas pilda citas regulā noteiktās funkcijas un pienākumus. KI galvenās funkcijas ir sadarbība ar Komisiju, dažādu pārkāpumu izmeklēšana, OIM atzītā statusa piešķiršana, OIM deklarāciju pārbaude, nepieciešamo OIM sertifikātu skaita nodrošināšana, sodu piemērošana par termiņā nenodotiem OIM sertifikātiem, kā arī pārejas periodā OIM ziņojumu pārbaude. 
VID nosakot kā KI OIM regulas kontekstā, tā ir jauna, VID neraksturīga funkcija, kas saistīta ar specifiskiem pienākumiem vides jomā. To veikšana prasa padziļinātas nodarbināto zināšanas, lai veiktu emisiju aprēķināšanu (iegultās emisijas, netiešās emisijas, faktiskās emisijas) un pārbaudi. VID amatpersonām šobrīd esošo pienākumu pildīšanai šādas specifiskas zināšanas nav nepieciešamas.</t>
  </si>
  <si>
    <t>Nodrošināt nepieciešamo finansējumu VID, lai nodrošinātu Eiropas zaļā kursa (Green Deal) pasākuma - oglekļa ievedkorekcijas mehānisma piemērošana Latvijā</t>
  </si>
  <si>
    <t>Pielikums Informatīvajam ziņojumam "“Par kompetentās iestādes noteikšanu oglekļa ievedkorekcijas mehānisma ieviešanai”</t>
  </si>
  <si>
    <t>Finanšu ministrs</t>
  </si>
  <si>
    <t>A.Ašeradens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</si>
</sst>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0"/>
      <name val="Arial"/>
      <charset val="186"/>
    </font>
    <font>
      <sz val="11"/>
      <color theme="1"/>
      <name val="Calibri"/>
      <family val="2"/>
      <charset val="186"/>
      <scheme val="minor"/>
    </font>
    <font>
      <sz val="10"/>
      <name val="Arial"/>
      <family val="2"/>
      <charset val="186"/>
    </font>
    <font>
      <b/>
      <sz val="12"/>
      <name val="Times New Roman"/>
      <family val="1"/>
      <charset val="186"/>
    </font>
    <font>
      <sz val="10"/>
      <name val="Times New Roman"/>
      <family val="1"/>
      <charset val="186"/>
    </font>
    <font>
      <sz val="10"/>
      <name val="Arial"/>
      <family val="2"/>
      <charset val="186"/>
    </font>
    <font>
      <b/>
      <sz val="10"/>
      <name val="Times New Roman"/>
      <family val="1"/>
      <charset val="186"/>
    </font>
    <font>
      <i/>
      <sz val="10"/>
      <name val="Times New Roman"/>
      <family val="1"/>
      <charset val="186"/>
    </font>
    <font>
      <sz val="5"/>
      <name val="Arial"/>
      <family val="2"/>
      <charset val="186"/>
    </font>
    <font>
      <b/>
      <sz val="8"/>
      <name val="Times New Roman"/>
      <family val="1"/>
      <charset val="186"/>
    </font>
    <font>
      <b/>
      <sz val="9"/>
      <name val="Times New Roman"/>
      <family val="1"/>
      <charset val="186"/>
    </font>
    <font>
      <i/>
      <sz val="10"/>
      <name val="Arial"/>
      <family val="2"/>
      <charset val="186"/>
    </font>
    <font>
      <sz val="9"/>
      <name val="Times New Roman"/>
      <family val="1"/>
      <charset val="186"/>
    </font>
    <font>
      <b/>
      <vertAlign val="superscript"/>
      <sz val="8"/>
      <name val="Times New Roman"/>
      <family val="1"/>
      <charset val="186"/>
    </font>
    <font>
      <vertAlign val="superscript"/>
      <sz val="9"/>
      <name val="Times New Roman"/>
      <family val="1"/>
      <charset val="186"/>
    </font>
    <font>
      <vertAlign val="superscript"/>
      <sz val="8"/>
      <name val="Times New Roman"/>
      <family val="1"/>
      <charset val="186"/>
    </font>
    <font>
      <sz val="9"/>
      <color rgb="FFFF0000"/>
      <name val="Times New Roman"/>
      <family val="1"/>
      <charset val="186"/>
    </font>
    <font>
      <sz val="8"/>
      <name val="Times New Roman"/>
      <family val="1"/>
      <charset val="186"/>
    </font>
    <font>
      <sz val="10"/>
      <color rgb="FFFF0000"/>
      <name val="Times New Roman"/>
      <family val="1"/>
      <charset val="186"/>
    </font>
    <font>
      <sz val="11"/>
      <color theme="1"/>
      <name val="Calibri"/>
      <family val="2"/>
      <scheme val="minor"/>
    </font>
    <font>
      <sz val="10"/>
      <name val="Arial"/>
      <charset val="186"/>
    </font>
    <font>
      <sz val="10"/>
      <color theme="1"/>
      <name val="Arial"/>
      <family val="2"/>
      <charset val="186"/>
    </font>
    <font>
      <b/>
      <sz val="11"/>
      <color theme="1"/>
      <name val="Arial"/>
      <family val="2"/>
      <charset val="186"/>
    </font>
    <font>
      <sz val="10"/>
      <color rgb="FFFF0000"/>
      <name val="Arial"/>
      <family val="2"/>
      <charset val="186"/>
    </font>
    <font>
      <b/>
      <sz val="10"/>
      <color rgb="FFFF0000"/>
      <name val="Times New Roman"/>
      <family val="1"/>
      <charset val="186"/>
    </font>
    <font>
      <b/>
      <sz val="12"/>
      <color theme="1"/>
      <name val="Times New Roman"/>
      <family val="1"/>
      <charset val="186"/>
    </font>
    <font>
      <b/>
      <sz val="10"/>
      <color theme="1"/>
      <name val="Times New Roman"/>
      <family val="1"/>
      <charset val="186"/>
    </font>
    <font>
      <b/>
      <i/>
      <sz val="12"/>
      <color theme="1"/>
      <name val="Times New Roman"/>
      <family val="1"/>
      <charset val="186"/>
    </font>
    <font>
      <sz val="12"/>
      <color theme="1"/>
      <name val="Times New Roman"/>
      <family val="1"/>
      <charset val="186"/>
    </font>
    <font>
      <sz val="9"/>
      <color theme="1"/>
      <name val="Times New Roman"/>
      <family val="1"/>
      <charset val="186"/>
    </font>
    <font>
      <i/>
      <sz val="9"/>
      <name val="Arial"/>
      <family val="2"/>
      <charset val="186"/>
    </font>
    <font>
      <i/>
      <sz val="9"/>
      <name val="Times New Roman"/>
      <family val="1"/>
      <charset val="186"/>
    </font>
    <font>
      <i/>
      <sz val="9"/>
      <color theme="1"/>
      <name val="Times New Roman"/>
      <family val="1"/>
      <charset val="186"/>
    </font>
    <font>
      <u/>
      <sz val="10"/>
      <color theme="1"/>
      <name val="Arial"/>
      <family val="2"/>
      <charset val="186"/>
    </font>
    <font>
      <b/>
      <sz val="11"/>
      <name val="Times New Roman"/>
      <family val="1"/>
      <charset val="186"/>
    </font>
    <font>
      <b/>
      <sz val="10"/>
      <color rgb="FFFF0000"/>
      <name val="Arial"/>
      <family val="2"/>
      <charset val="186"/>
    </font>
    <font>
      <b/>
      <sz val="10"/>
      <name val="Arial"/>
      <family val="2"/>
      <charset val="186"/>
    </font>
    <font>
      <b/>
      <sz val="10"/>
      <color theme="1"/>
      <name val="Arial"/>
      <family val="2"/>
      <charset val="186"/>
    </font>
    <font>
      <sz val="11"/>
      <name val="Times New Roman"/>
      <family val="1"/>
      <charset val="186"/>
    </font>
  </fonts>
  <fills count="10">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DCF0F4"/>
        <bgColor indexed="64"/>
      </patternFill>
    </fill>
    <fill>
      <patternFill patternType="solid">
        <fgColor rgb="FF59B8CB"/>
        <bgColor indexed="64"/>
      </patternFill>
    </fill>
    <fill>
      <patternFill patternType="solid">
        <fgColor rgb="FF9FD6E1"/>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0">
    <xf numFmtId="0" fontId="0" fillId="0" borderId="0"/>
    <xf numFmtId="0" fontId="5" fillId="0" borderId="0"/>
    <xf numFmtId="0" fontId="2" fillId="0" borderId="0" applyBorder="0"/>
    <xf numFmtId="0" fontId="2" fillId="0" borderId="0"/>
    <xf numFmtId="0" fontId="1" fillId="0" borderId="0"/>
    <xf numFmtId="0" fontId="19" fillId="0" borderId="0"/>
    <xf numFmtId="0" fontId="21" fillId="0" borderId="0"/>
    <xf numFmtId="0" fontId="2" fillId="0" borderId="0"/>
    <xf numFmtId="0" fontId="20" fillId="0" borderId="0"/>
    <xf numFmtId="0" fontId="2" fillId="0" borderId="0"/>
  </cellStyleXfs>
  <cellXfs count="187">
    <xf numFmtId="0" fontId="0" fillId="0" borderId="0" xfId="0"/>
    <xf numFmtId="0" fontId="9" fillId="0" borderId="2" xfId="0" applyFont="1" applyBorder="1" applyAlignment="1">
      <alignment horizontal="center" wrapText="1"/>
    </xf>
    <xf numFmtId="0" fontId="5" fillId="0" borderId="0" xfId="0" applyFont="1"/>
    <xf numFmtId="0" fontId="2" fillId="0" borderId="0" xfId="0" applyFont="1"/>
    <xf numFmtId="49" fontId="10" fillId="0" borderId="2" xfId="0" applyNumberFormat="1" applyFont="1" applyBorder="1" applyAlignment="1">
      <alignment horizontal="left" vertical="top" wrapText="1"/>
    </xf>
    <xf numFmtId="0" fontId="8" fillId="0" borderId="0" xfId="0" applyFont="1" applyAlignment="1">
      <alignment wrapText="1"/>
    </xf>
    <xf numFmtId="0" fontId="6" fillId="0" borderId="0" xfId="2" applyFont="1" applyBorder="1" applyAlignment="1">
      <alignment vertical="center" wrapText="1"/>
    </xf>
    <xf numFmtId="0" fontId="16" fillId="0" borderId="0" xfId="0" applyFont="1" applyAlignment="1">
      <alignment vertical="top" wrapText="1"/>
    </xf>
    <xf numFmtId="49" fontId="10" fillId="0" borderId="4" xfId="0" applyNumberFormat="1" applyFont="1" applyBorder="1" applyAlignment="1">
      <alignment horizontal="left" vertical="top" wrapText="1"/>
    </xf>
    <xf numFmtId="49" fontId="10" fillId="0" borderId="5" xfId="0" applyNumberFormat="1" applyFont="1" applyBorder="1" applyAlignment="1">
      <alignment horizontal="left" vertical="top" wrapText="1"/>
    </xf>
    <xf numFmtId="0" fontId="2" fillId="0" borderId="10" xfId="0" applyFont="1" applyBorder="1" applyAlignment="1">
      <alignment wrapText="1"/>
    </xf>
    <xf numFmtId="0" fontId="10" fillId="0" borderId="0" xfId="0" applyFont="1" applyAlignment="1">
      <alignment vertical="top"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3" fontId="4" fillId="0" borderId="2" xfId="0" applyNumberFormat="1" applyFont="1" applyBorder="1" applyAlignment="1">
      <alignment horizontal="right" wrapText="1"/>
    </xf>
    <xf numFmtId="49" fontId="4" fillId="0" borderId="2" xfId="0" applyNumberFormat="1" applyFont="1" applyBorder="1" applyAlignment="1">
      <alignment horizontal="right" vertical="center" wrapText="1"/>
    </xf>
    <xf numFmtId="0" fontId="6" fillId="2" borderId="0" xfId="0" applyFont="1" applyFill="1" applyAlignment="1">
      <alignment vertical="top" wrapText="1"/>
    </xf>
    <xf numFmtId="0" fontId="6" fillId="2" borderId="3" xfId="0" applyFont="1" applyFill="1" applyBorder="1" applyAlignment="1">
      <alignment vertical="top"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4" fillId="2" borderId="1" xfId="0" applyFont="1" applyFill="1" applyBorder="1" applyAlignment="1">
      <alignment horizontal="justify" vertical="top"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right" vertical="center" wrapText="1"/>
    </xf>
    <xf numFmtId="0" fontId="6" fillId="2" borderId="2" xfId="0" applyFont="1" applyFill="1" applyBorder="1" applyAlignment="1">
      <alignment vertical="top" wrapText="1"/>
    </xf>
    <xf numFmtId="0" fontId="2" fillId="0" borderId="0" xfId="0" applyFont="1" applyAlignment="1">
      <alignment wrapText="1"/>
    </xf>
    <xf numFmtId="0" fontId="2" fillId="0" borderId="0" xfId="2" applyAlignment="1">
      <alignment wrapText="1"/>
    </xf>
    <xf numFmtId="0" fontId="18" fillId="0" borderId="0" xfId="0" applyFont="1" applyAlignment="1">
      <alignment vertical="top" wrapText="1"/>
    </xf>
    <xf numFmtId="0" fontId="2" fillId="0" borderId="0" xfId="2" applyAlignment="1">
      <alignment vertical="center" wrapText="1"/>
    </xf>
    <xf numFmtId="0" fontId="2" fillId="0" borderId="0" xfId="0" applyFont="1" applyAlignment="1">
      <alignment vertical="center" wrapText="1"/>
    </xf>
    <xf numFmtId="3" fontId="4" fillId="0" borderId="2" xfId="0" applyNumberFormat="1" applyFont="1" applyBorder="1" applyAlignment="1">
      <alignment horizontal="center" vertical="center" wrapText="1"/>
    </xf>
    <xf numFmtId="0" fontId="22" fillId="0" borderId="0" xfId="6" applyFont="1"/>
    <xf numFmtId="0" fontId="21" fillId="0" borderId="0" xfId="6" applyAlignment="1">
      <alignment wrapText="1"/>
    </xf>
    <xf numFmtId="3" fontId="6" fillId="0" borderId="0" xfId="7" applyNumberFormat="1" applyFont="1" applyAlignment="1">
      <alignment horizontal="center" vertical="center" wrapText="1"/>
    </xf>
    <xf numFmtId="0" fontId="23" fillId="0" borderId="0" xfId="6" applyFont="1" applyAlignment="1">
      <alignment wrapText="1"/>
    </xf>
    <xf numFmtId="3" fontId="24" fillId="0" borderId="13" xfId="7" applyNumberFormat="1" applyFont="1" applyBorder="1" applyAlignment="1">
      <alignment horizontal="center" vertical="center" wrapText="1"/>
    </xf>
    <xf numFmtId="0" fontId="26" fillId="4" borderId="2" xfId="6" applyFont="1" applyFill="1" applyBorder="1" applyAlignment="1">
      <alignment horizontal="center" vertical="center" wrapText="1"/>
    </xf>
    <xf numFmtId="3" fontId="25" fillId="5" borderId="2" xfId="6" applyNumberFormat="1" applyFont="1" applyFill="1" applyBorder="1" applyAlignment="1">
      <alignment horizontal="center" vertical="center" wrapText="1"/>
    </xf>
    <xf numFmtId="3" fontId="27" fillId="6" borderId="2" xfId="6" applyNumberFormat="1" applyFont="1" applyFill="1" applyBorder="1" applyAlignment="1">
      <alignment horizontal="center" wrapText="1"/>
    </xf>
    <xf numFmtId="3" fontId="27" fillId="6" borderId="2" xfId="6" applyNumberFormat="1" applyFont="1" applyFill="1" applyBorder="1" applyAlignment="1">
      <alignment horizontal="center" vertical="center" wrapText="1"/>
    </xf>
    <xf numFmtId="0" fontId="21" fillId="0" borderId="2" xfId="6" applyBorder="1" applyAlignment="1">
      <alignment horizontal="center" vertical="center" wrapText="1"/>
    </xf>
    <xf numFmtId="0" fontId="28" fillId="0" borderId="2" xfId="6" applyFont="1" applyBorder="1" applyAlignment="1">
      <alignment vertical="center" wrapText="1"/>
    </xf>
    <xf numFmtId="3" fontId="29" fillId="0" borderId="2" xfId="6" applyNumberFormat="1" applyFont="1" applyBorder="1" applyAlignment="1">
      <alignment horizontal="center" vertical="center" wrapText="1"/>
    </xf>
    <xf numFmtId="3" fontId="28" fillId="0" borderId="2" xfId="6" applyNumberFormat="1" applyFont="1" applyBorder="1" applyAlignment="1">
      <alignment horizontal="center" vertical="center" wrapText="1"/>
    </xf>
    <xf numFmtId="0" fontId="30" fillId="0" borderId="2" xfId="6" applyFont="1" applyBorder="1" applyAlignment="1">
      <alignment horizontal="center" vertical="center" wrapText="1"/>
    </xf>
    <xf numFmtId="0" fontId="31" fillId="0" borderId="2" xfId="6" applyFont="1" applyBorder="1" applyAlignment="1">
      <alignment horizontal="left" vertical="center" wrapText="1"/>
    </xf>
    <xf numFmtId="3" fontId="32" fillId="0" borderId="2" xfId="6" applyNumberFormat="1" applyFont="1" applyBorder="1" applyAlignment="1">
      <alignment horizontal="center" vertical="center" wrapText="1"/>
    </xf>
    <xf numFmtId="3" fontId="29" fillId="0" borderId="2" xfId="6" applyNumberFormat="1" applyFont="1" applyBorder="1" applyAlignment="1">
      <alignment horizontal="left" vertical="center" wrapText="1"/>
    </xf>
    <xf numFmtId="0" fontId="27" fillId="6" borderId="2" xfId="8" applyFont="1" applyFill="1" applyBorder="1" applyAlignment="1">
      <alignment horizontal="left" vertical="center"/>
    </xf>
    <xf numFmtId="3" fontId="27" fillId="6" borderId="2" xfId="8" applyNumberFormat="1" applyFont="1" applyFill="1" applyBorder="1" applyAlignment="1">
      <alignment horizontal="center" vertical="center" wrapText="1"/>
    </xf>
    <xf numFmtId="0" fontId="21" fillId="0" borderId="2" xfId="6" applyBorder="1" applyAlignment="1">
      <alignment wrapText="1"/>
    </xf>
    <xf numFmtId="0" fontId="21" fillId="0" borderId="0" xfId="6"/>
    <xf numFmtId="3" fontId="6" fillId="7" borderId="2" xfId="7" applyNumberFormat="1" applyFont="1" applyFill="1" applyBorder="1" applyAlignment="1">
      <alignment horizontal="center" vertical="center" wrapText="1"/>
    </xf>
    <xf numFmtId="3" fontId="24" fillId="0" borderId="2" xfId="7" applyNumberFormat="1" applyFont="1" applyBorder="1" applyAlignment="1">
      <alignment horizontal="center" vertical="center" wrapText="1"/>
    </xf>
    <xf numFmtId="0" fontId="2" fillId="0" borderId="0" xfId="7" applyAlignment="1">
      <alignment wrapText="1"/>
    </xf>
    <xf numFmtId="0" fontId="23" fillId="0" borderId="0" xfId="7" applyFont="1" applyAlignment="1">
      <alignment wrapText="1"/>
    </xf>
    <xf numFmtId="0" fontId="35" fillId="0" borderId="2" xfId="7" applyFont="1" applyBorder="1" applyAlignment="1">
      <alignment horizontal="center" wrapText="1"/>
    </xf>
    <xf numFmtId="49" fontId="6" fillId="0" borderId="2" xfId="7" applyNumberFormat="1" applyFont="1" applyBorder="1" applyAlignment="1">
      <alignment horizontal="center" vertical="center" wrapText="1"/>
    </xf>
    <xf numFmtId="0" fontId="6" fillId="0" borderId="2" xfId="7" applyFont="1" applyBorder="1" applyAlignment="1">
      <alignment horizontal="center" vertical="center" wrapText="1"/>
    </xf>
    <xf numFmtId="49" fontId="6" fillId="8" borderId="2" xfId="7" applyNumberFormat="1" applyFont="1" applyFill="1" applyBorder="1" applyAlignment="1">
      <alignment horizontal="left" vertical="center" wrapText="1"/>
    </xf>
    <xf numFmtId="0" fontId="6" fillId="8" borderId="2" xfId="7" applyFont="1" applyFill="1" applyBorder="1" applyAlignment="1">
      <alignment horizontal="left" vertical="center" wrapText="1"/>
    </xf>
    <xf numFmtId="4" fontId="6" fillId="8" borderId="2" xfId="7" applyNumberFormat="1" applyFont="1" applyFill="1" applyBorder="1" applyAlignment="1">
      <alignment horizontal="center" vertical="center" wrapText="1"/>
    </xf>
    <xf numFmtId="3" fontId="6" fillId="8" borderId="2" xfId="7" applyNumberFormat="1" applyFont="1" applyFill="1" applyBorder="1" applyAlignment="1">
      <alignment horizontal="center" vertical="center" wrapText="1"/>
    </xf>
    <xf numFmtId="0" fontId="36" fillId="0" borderId="0" xfId="7" applyFont="1" applyAlignment="1">
      <alignment wrapText="1"/>
    </xf>
    <xf numFmtId="49" fontId="6" fillId="9" borderId="2" xfId="7" applyNumberFormat="1" applyFont="1" applyFill="1" applyBorder="1" applyAlignment="1">
      <alignment horizontal="left" vertical="center" wrapText="1"/>
    </xf>
    <xf numFmtId="0" fontId="6" fillId="9" borderId="2" xfId="7" applyFont="1" applyFill="1" applyBorder="1" applyAlignment="1">
      <alignment horizontal="left" vertical="center" wrapText="1"/>
    </xf>
    <xf numFmtId="4" fontId="26" fillId="9" borderId="2" xfId="7" applyNumberFormat="1" applyFont="1" applyFill="1" applyBorder="1" applyAlignment="1">
      <alignment horizontal="center" vertical="center" wrapText="1"/>
    </xf>
    <xf numFmtId="3" fontId="26" fillId="9" borderId="2" xfId="7" applyNumberFormat="1" applyFont="1" applyFill="1" applyBorder="1" applyAlignment="1">
      <alignment horizontal="center" vertical="center" wrapText="1"/>
    </xf>
    <xf numFmtId="3" fontId="37" fillId="0" borderId="0" xfId="6" applyNumberFormat="1" applyFont="1" applyAlignment="1">
      <alignment wrapText="1"/>
    </xf>
    <xf numFmtId="3" fontId="21" fillId="0" borderId="0" xfId="6" applyNumberFormat="1"/>
    <xf numFmtId="49" fontId="4" fillId="0" borderId="2" xfId="7" applyNumberFormat="1" applyFont="1" applyBorder="1" applyAlignment="1">
      <alignment horizontal="left" vertical="center" wrapText="1"/>
    </xf>
    <xf numFmtId="0" fontId="4" fillId="0" borderId="2" xfId="7" applyFont="1" applyBorder="1" applyAlignment="1">
      <alignment horizontal="left" vertical="center" wrapText="1"/>
    </xf>
    <xf numFmtId="3" fontId="4" fillId="0" borderId="2" xfId="7" applyNumberFormat="1" applyFont="1" applyBorder="1" applyAlignment="1">
      <alignment horizontal="center" vertical="center" wrapText="1"/>
    </xf>
    <xf numFmtId="3" fontId="4" fillId="7" borderId="2" xfId="7" applyNumberFormat="1" applyFont="1" applyFill="1" applyBorder="1" applyAlignment="1">
      <alignment horizontal="center" vertical="center" wrapText="1"/>
    </xf>
    <xf numFmtId="4" fontId="4" fillId="0" borderId="2" xfId="7" applyNumberFormat="1" applyFont="1" applyBorder="1" applyAlignment="1">
      <alignment horizontal="center" vertical="center" wrapText="1"/>
    </xf>
    <xf numFmtId="0" fontId="4" fillId="0" borderId="2" xfId="7" applyFont="1" applyBorder="1" applyAlignment="1">
      <alignment horizontal="center" vertical="center" wrapText="1"/>
    </xf>
    <xf numFmtId="0" fontId="4" fillId="0" borderId="2" xfId="9" applyFont="1" applyBorder="1" applyAlignment="1">
      <alignment horizontal="center" vertical="center" wrapText="1"/>
    </xf>
    <xf numFmtId="4" fontId="4" fillId="0" borderId="2" xfId="9" applyNumberFormat="1" applyFont="1" applyBorder="1" applyAlignment="1">
      <alignment horizontal="center" vertical="center" wrapText="1"/>
    </xf>
    <xf numFmtId="3" fontId="4" fillId="0" borderId="2" xfId="9" applyNumberFormat="1" applyFont="1" applyBorder="1" applyAlignment="1">
      <alignment horizontal="center" vertical="center" wrapText="1"/>
    </xf>
    <xf numFmtId="0" fontId="4" fillId="0" borderId="0" xfId="5" applyFont="1" applyAlignment="1">
      <alignment wrapText="1"/>
    </xf>
    <xf numFmtId="0" fontId="2" fillId="0" borderId="0" xfId="6" applyFont="1"/>
    <xf numFmtId="0" fontId="4" fillId="0" borderId="0" xfId="0" applyFont="1" applyAlignment="1">
      <alignment wrapText="1"/>
    </xf>
    <xf numFmtId="0" fontId="12" fillId="0" borderId="0" xfId="0" applyFont="1" applyAlignment="1">
      <alignment horizontal="left" vertical="top" wrapText="1"/>
    </xf>
    <xf numFmtId="49" fontId="10" fillId="0" borderId="3" xfId="0" applyNumberFormat="1" applyFont="1" applyBorder="1" applyAlignment="1">
      <alignment horizontal="left" vertical="top" wrapText="1"/>
    </xf>
    <xf numFmtId="49" fontId="2" fillId="0" borderId="4" xfId="0" applyNumberFormat="1" applyFont="1" applyBorder="1" applyAlignment="1">
      <alignment horizontal="left" vertical="top" wrapText="1"/>
    </xf>
    <xf numFmtId="0" fontId="7" fillId="0" borderId="2" xfId="0" applyFont="1" applyBorder="1" applyAlignment="1">
      <alignment vertical="top" wrapText="1"/>
    </xf>
    <xf numFmtId="0" fontId="11" fillId="0" borderId="2" xfId="0" applyFont="1" applyBorder="1" applyAlignment="1">
      <alignment vertical="top" wrapText="1"/>
    </xf>
    <xf numFmtId="49" fontId="4" fillId="3" borderId="1" xfId="0" applyNumberFormat="1" applyFont="1" applyFill="1" applyBorder="1" applyAlignment="1">
      <alignment horizontal="justify" vertical="top" wrapText="1"/>
    </xf>
    <xf numFmtId="49" fontId="2" fillId="3" borderId="6" xfId="0" applyNumberFormat="1" applyFont="1" applyFill="1" applyBorder="1" applyAlignment="1">
      <alignment horizontal="justify" vertical="top" wrapText="1"/>
    </xf>
    <xf numFmtId="49" fontId="2" fillId="3" borderId="7" xfId="0" applyNumberFormat="1" applyFont="1" applyFill="1" applyBorder="1" applyAlignment="1">
      <alignment horizontal="justify" vertical="top" wrapText="1"/>
    </xf>
    <xf numFmtId="49" fontId="10" fillId="0" borderId="5" xfId="0" applyNumberFormat="1" applyFont="1" applyBorder="1" applyAlignment="1">
      <alignment horizontal="left" vertical="top" wrapText="1"/>
    </xf>
    <xf numFmtId="49" fontId="2" fillId="0" borderId="5" xfId="0" applyNumberFormat="1" applyFont="1" applyBorder="1" applyAlignment="1">
      <alignment horizontal="left" vertical="top" wrapText="1"/>
    </xf>
    <xf numFmtId="0" fontId="6" fillId="2" borderId="2" xfId="0" applyFont="1" applyFill="1" applyBorder="1" applyAlignment="1">
      <alignment horizontal="justify" vertical="top" wrapText="1"/>
    </xf>
    <xf numFmtId="0" fontId="2" fillId="2" borderId="2" xfId="0" applyFont="1" applyFill="1" applyBorder="1" applyAlignment="1">
      <alignment horizontal="justify" vertical="top" wrapText="1"/>
    </xf>
    <xf numFmtId="49" fontId="4" fillId="3" borderId="2" xfId="3" applyNumberFormat="1" applyFont="1" applyFill="1" applyBorder="1" applyAlignment="1">
      <alignment horizontal="justify" vertical="top" wrapText="1"/>
    </xf>
    <xf numFmtId="49" fontId="2" fillId="3" borderId="2" xfId="3" applyNumberFormat="1" applyFill="1" applyBorder="1" applyAlignment="1">
      <alignment horizontal="justify" vertical="top" wrapText="1"/>
    </xf>
    <xf numFmtId="49" fontId="4" fillId="3" borderId="11" xfId="0" applyNumberFormat="1" applyFont="1" applyFill="1" applyBorder="1" applyAlignment="1">
      <alignment horizontal="justify" vertical="top" wrapText="1"/>
    </xf>
    <xf numFmtId="49" fontId="4" fillId="3" borderId="8" xfId="0" applyNumberFormat="1" applyFont="1" applyFill="1" applyBorder="1" applyAlignment="1">
      <alignment horizontal="justify" vertical="top" wrapText="1"/>
    </xf>
    <xf numFmtId="49" fontId="4" fillId="3" borderId="9" xfId="0" applyNumberFormat="1" applyFont="1" applyFill="1" applyBorder="1" applyAlignment="1">
      <alignment horizontal="justify" vertical="top" wrapText="1"/>
    </xf>
    <xf numFmtId="49" fontId="4" fillId="3" borderId="2" xfId="0" applyNumberFormat="1" applyFont="1" applyFill="1" applyBorder="1" applyAlignment="1">
      <alignment horizontal="justify" vertical="top" wrapText="1"/>
    </xf>
    <xf numFmtId="49" fontId="2" fillId="3" borderId="2" xfId="0" applyNumberFormat="1" applyFont="1" applyFill="1" applyBorder="1" applyAlignment="1">
      <alignment horizontal="justify" vertical="top" wrapText="1"/>
    </xf>
    <xf numFmtId="0" fontId="17" fillId="0" borderId="0" xfId="1" applyFont="1" applyAlignment="1">
      <alignment horizontal="justify" wrapText="1"/>
    </xf>
    <xf numFmtId="49" fontId="4" fillId="0" borderId="0" xfId="5" applyNumberFormat="1" applyFont="1" applyAlignment="1">
      <alignment horizontal="center" vertical="center" wrapText="1"/>
    </xf>
    <xf numFmtId="49" fontId="19" fillId="0" borderId="0" xfId="5" applyNumberFormat="1" applyAlignment="1">
      <alignment horizontal="center" vertical="center" wrapText="1"/>
    </xf>
    <xf numFmtId="0" fontId="12" fillId="0" borderId="8" xfId="5" applyFont="1" applyBorder="1" applyAlignment="1">
      <alignment horizontal="center" wrapText="1"/>
    </xf>
    <xf numFmtId="0" fontId="19" fillId="0" borderId="8" xfId="5" applyBorder="1" applyAlignment="1">
      <alignment horizontal="center" wrapText="1"/>
    </xf>
    <xf numFmtId="0" fontId="4" fillId="0" borderId="0" xfId="5" applyFont="1" applyAlignment="1">
      <alignment vertical="center" wrapText="1"/>
    </xf>
    <xf numFmtId="0" fontId="19" fillId="0" borderId="0" xfId="5" applyAlignment="1">
      <alignment vertical="center" wrapText="1"/>
    </xf>
    <xf numFmtId="49" fontId="19" fillId="0" borderId="0" xfId="5" applyNumberFormat="1" applyAlignment="1">
      <alignment wrapText="1"/>
    </xf>
    <xf numFmtId="0" fontId="3" fillId="0" borderId="0" xfId="2" applyFont="1" applyAlignment="1">
      <alignment horizontal="center" vertical="top" wrapText="1"/>
    </xf>
    <xf numFmtId="0" fontId="6" fillId="2" borderId="7" xfId="0" applyFont="1" applyFill="1" applyBorder="1" applyAlignment="1">
      <alignment vertical="center" wrapText="1"/>
    </xf>
    <xf numFmtId="0" fontId="6" fillId="2" borderId="2" xfId="0" applyFont="1" applyFill="1" applyBorder="1" applyAlignment="1">
      <alignment vertical="center" wrapText="1"/>
    </xf>
    <xf numFmtId="0" fontId="6" fillId="2" borderId="1"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0" xfId="0" applyFont="1" applyFill="1" applyAlignment="1">
      <alignment horizontal="left" vertical="top" wrapText="1"/>
    </xf>
    <xf numFmtId="0" fontId="6" fillId="2" borderId="0" xfId="2" applyFont="1" applyFill="1" applyBorder="1" applyAlignment="1">
      <alignment horizontal="left" vertical="center" wrapText="1"/>
    </xf>
    <xf numFmtId="49" fontId="4" fillId="0" borderId="6" xfId="0" applyNumberFormat="1" applyFont="1" applyBorder="1" applyAlignment="1">
      <alignment horizontal="justify" vertical="top" wrapText="1"/>
    </xf>
    <xf numFmtId="49" fontId="4" fillId="0" borderId="7" xfId="0" applyNumberFormat="1" applyFont="1" applyBorder="1" applyAlignment="1">
      <alignment horizontal="justify" vertical="top" wrapText="1"/>
    </xf>
    <xf numFmtId="49" fontId="4" fillId="0" borderId="1" xfId="0" applyNumberFormat="1" applyFont="1" applyBorder="1" applyAlignment="1">
      <alignment horizontal="justify" vertical="top" wrapText="1"/>
    </xf>
    <xf numFmtId="49" fontId="2" fillId="0" borderId="6" xfId="0" applyNumberFormat="1" applyFont="1" applyBorder="1" applyAlignment="1">
      <alignment horizontal="justify" vertical="top" wrapText="1"/>
    </xf>
    <xf numFmtId="49" fontId="2" fillId="0" borderId="7" xfId="0" applyNumberFormat="1" applyFont="1" applyBorder="1" applyAlignment="1">
      <alignment horizontal="justify" vertical="top" wrapText="1"/>
    </xf>
    <xf numFmtId="0" fontId="6" fillId="2" borderId="1" xfId="0" applyFont="1" applyFill="1" applyBorder="1" applyAlignment="1">
      <alignment horizontal="justify" vertical="top" wrapText="1"/>
    </xf>
    <xf numFmtId="0" fontId="2" fillId="2" borderId="6" xfId="0" applyFont="1" applyFill="1" applyBorder="1" applyAlignment="1">
      <alignment horizontal="justify" vertical="top" wrapText="1"/>
    </xf>
    <xf numFmtId="0" fontId="2" fillId="2" borderId="7" xfId="0" applyFont="1" applyFill="1" applyBorder="1" applyAlignment="1">
      <alignment horizontal="justify" vertical="top" wrapText="1"/>
    </xf>
    <xf numFmtId="0" fontId="6" fillId="2" borderId="2" xfId="0" applyFont="1" applyFill="1" applyBorder="1" applyAlignment="1">
      <alignment vertical="top" wrapText="1"/>
    </xf>
    <xf numFmtId="0" fontId="2" fillId="2" borderId="2" xfId="0" applyFont="1" applyFill="1" applyBorder="1" applyAlignment="1">
      <alignment vertical="top" wrapText="1"/>
    </xf>
    <xf numFmtId="49" fontId="4" fillId="0" borderId="2" xfId="0" applyNumberFormat="1" applyFont="1" applyBorder="1" applyAlignment="1">
      <alignment horizontal="justify" vertical="top" wrapText="1"/>
    </xf>
    <xf numFmtId="49" fontId="2" fillId="0" borderId="2" xfId="0" applyNumberFormat="1" applyFont="1" applyBorder="1" applyAlignment="1">
      <alignment horizontal="justify" vertical="top" wrapText="1"/>
    </xf>
    <xf numFmtId="0" fontId="6" fillId="0" borderId="0" xfId="0" applyFont="1" applyAlignment="1">
      <alignment horizontal="left" wrapText="1"/>
    </xf>
    <xf numFmtId="0" fontId="9" fillId="2" borderId="2" xfId="0" applyFont="1" applyFill="1" applyBorder="1" applyAlignment="1">
      <alignment horizontal="left" wrapText="1"/>
    </xf>
    <xf numFmtId="0" fontId="6" fillId="0" borderId="0" xfId="2" applyFont="1" applyBorder="1" applyAlignment="1">
      <alignment horizontal="justify" vertical="center" wrapText="1"/>
    </xf>
    <xf numFmtId="0" fontId="2" fillId="0" borderId="0" xfId="0" applyFont="1" applyAlignment="1">
      <alignment horizontal="justify" vertical="center" wrapText="1"/>
    </xf>
    <xf numFmtId="0" fontId="2" fillId="0" borderId="6" xfId="0" applyFont="1" applyBorder="1" applyAlignment="1">
      <alignment horizontal="justify" vertical="top" wrapText="1"/>
    </xf>
    <xf numFmtId="0" fontId="2" fillId="0" borderId="7" xfId="0" applyFont="1" applyBorder="1" applyAlignment="1">
      <alignment horizontal="justify" vertical="top" wrapText="1"/>
    </xf>
    <xf numFmtId="49" fontId="10" fillId="0" borderId="1" xfId="0" applyNumberFormat="1" applyFont="1" applyBorder="1" applyAlignment="1">
      <alignment horizontal="justify" vertical="top" wrapText="1"/>
    </xf>
    <xf numFmtId="49" fontId="10" fillId="0" borderId="6" xfId="0" applyNumberFormat="1" applyFont="1" applyBorder="1" applyAlignment="1">
      <alignment horizontal="justify" vertical="top" wrapText="1"/>
    </xf>
    <xf numFmtId="49" fontId="10" fillId="0" borderId="7" xfId="0" applyNumberFormat="1" applyFont="1" applyBorder="1" applyAlignment="1">
      <alignment horizontal="justify" vertical="top" wrapText="1"/>
    </xf>
    <xf numFmtId="0" fontId="6" fillId="0" borderId="2" xfId="0" applyFont="1" applyBorder="1" applyAlignment="1">
      <alignment horizontal="center" vertical="center" wrapText="1"/>
    </xf>
    <xf numFmtId="0" fontId="4" fillId="2" borderId="1"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7" xfId="0" applyFont="1" applyFill="1" applyBorder="1" applyAlignment="1">
      <alignment horizontal="left" vertical="top" wrapText="1"/>
    </xf>
    <xf numFmtId="0" fontId="6" fillId="2" borderId="1"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4" fillId="0" borderId="1" xfId="0" applyFont="1" applyBorder="1" applyAlignment="1">
      <alignment horizontal="justify" vertical="top" wrapText="1"/>
    </xf>
    <xf numFmtId="0" fontId="4" fillId="0" borderId="6" xfId="0" applyFont="1" applyBorder="1" applyAlignment="1">
      <alignment horizontal="justify" vertical="top" wrapText="1"/>
    </xf>
    <xf numFmtId="0" fontId="4" fillId="0" borderId="7" xfId="0" applyFont="1" applyBorder="1" applyAlignment="1">
      <alignment horizontal="justify" vertical="top" wrapText="1"/>
    </xf>
    <xf numFmtId="0" fontId="6" fillId="0" borderId="1" xfId="0" applyFont="1" applyBorder="1" applyAlignment="1">
      <alignment horizontal="center" vertical="top" wrapText="1"/>
    </xf>
    <xf numFmtId="0" fontId="6" fillId="0" borderId="7" xfId="0" applyFont="1" applyBorder="1" applyAlignment="1">
      <alignment horizontal="center" vertical="top" wrapText="1"/>
    </xf>
    <xf numFmtId="49" fontId="4" fillId="2" borderId="7" xfId="0" applyNumberFormat="1" applyFont="1" applyFill="1" applyBorder="1" applyAlignment="1">
      <alignment horizontal="left" vertical="top" wrapText="1"/>
    </xf>
    <xf numFmtId="49" fontId="4" fillId="2" borderId="2" xfId="0" applyNumberFormat="1" applyFont="1" applyFill="1" applyBorder="1" applyAlignment="1">
      <alignment horizontal="left" vertical="top" wrapText="1"/>
    </xf>
    <xf numFmtId="49" fontId="4" fillId="0" borderId="1" xfId="0" applyNumberFormat="1" applyFont="1" applyBorder="1" applyAlignment="1">
      <alignment horizontal="left" vertical="center" wrapText="1"/>
    </xf>
    <xf numFmtId="49" fontId="4" fillId="0" borderId="6" xfId="0" applyNumberFormat="1" applyFont="1" applyBorder="1" applyAlignment="1">
      <alignment horizontal="left" vertical="center" wrapText="1"/>
    </xf>
    <xf numFmtId="49" fontId="4" fillId="0" borderId="7" xfId="0" applyNumberFormat="1" applyFont="1" applyBorder="1" applyAlignment="1">
      <alignment horizontal="left" vertical="center" wrapText="1"/>
    </xf>
    <xf numFmtId="0" fontId="4" fillId="2" borderId="1"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49" fontId="4" fillId="0" borderId="1" xfId="0" applyNumberFormat="1" applyFont="1" applyBorder="1" applyAlignment="1">
      <alignment horizontal="justify" vertical="center" wrapText="1"/>
    </xf>
    <xf numFmtId="49" fontId="4" fillId="0" borderId="6" xfId="0" applyNumberFormat="1" applyFont="1" applyBorder="1" applyAlignment="1">
      <alignment horizontal="justify" vertical="center" wrapText="1"/>
    </xf>
    <xf numFmtId="49" fontId="4" fillId="0" borderId="7" xfId="0" applyNumberFormat="1" applyFont="1" applyBorder="1" applyAlignment="1">
      <alignment horizontal="justify" vertical="center" wrapText="1"/>
    </xf>
    <xf numFmtId="49" fontId="10" fillId="0" borderId="4" xfId="0" applyNumberFormat="1" applyFont="1" applyBorder="1" applyAlignment="1">
      <alignment horizontal="left" vertical="top" wrapText="1"/>
    </xf>
    <xf numFmtId="0" fontId="6" fillId="2" borderId="1" xfId="0" applyFont="1" applyFill="1" applyBorder="1" applyAlignment="1">
      <alignment horizontal="left"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xf numFmtId="49" fontId="4" fillId="0" borderId="11" xfId="0" applyNumberFormat="1" applyFont="1" applyBorder="1" applyAlignment="1">
      <alignment horizontal="left" vertical="center" wrapText="1"/>
    </xf>
    <xf numFmtId="49" fontId="4" fillId="0" borderId="8" xfId="0" applyNumberFormat="1" applyFont="1" applyBorder="1" applyAlignment="1">
      <alignment horizontal="left" vertical="center" wrapText="1"/>
    </xf>
    <xf numFmtId="49" fontId="4" fillId="0" borderId="9" xfId="0" applyNumberFormat="1" applyFont="1" applyBorder="1" applyAlignment="1">
      <alignment horizontal="left" vertical="center" wrapText="1"/>
    </xf>
    <xf numFmtId="49" fontId="4" fillId="0" borderId="10" xfId="0" applyNumberFormat="1" applyFont="1" applyBorder="1" applyAlignment="1">
      <alignment horizontal="left" vertical="center" wrapText="1"/>
    </xf>
    <xf numFmtId="49" fontId="4" fillId="0" borderId="0" xfId="0" applyNumberFormat="1" applyFont="1" applyAlignment="1">
      <alignment horizontal="left" vertical="center" wrapText="1"/>
    </xf>
    <xf numFmtId="49" fontId="4" fillId="0" borderId="15" xfId="0" applyNumberFormat="1" applyFont="1" applyBorder="1" applyAlignment="1">
      <alignment horizontal="left" vertical="center" wrapText="1"/>
    </xf>
    <xf numFmtId="49" fontId="4" fillId="0" borderId="12" xfId="0" applyNumberFormat="1" applyFont="1" applyBorder="1" applyAlignment="1">
      <alignment horizontal="left" vertical="center" wrapText="1"/>
    </xf>
    <xf numFmtId="49" fontId="4" fillId="0" borderId="13" xfId="0" applyNumberFormat="1" applyFont="1" applyBorder="1" applyAlignment="1">
      <alignment horizontal="left" vertical="center" wrapText="1"/>
    </xf>
    <xf numFmtId="49" fontId="4" fillId="0" borderId="14" xfId="0" applyNumberFormat="1" applyFont="1" applyBorder="1" applyAlignment="1">
      <alignment horizontal="left" vertical="center" wrapText="1"/>
    </xf>
    <xf numFmtId="0" fontId="26" fillId="0" borderId="2" xfId="6" applyFont="1" applyBorder="1" applyAlignment="1">
      <alignment horizontal="center" vertical="center" wrapText="1"/>
    </xf>
    <xf numFmtId="0" fontId="25" fillId="4" borderId="2" xfId="6" applyFont="1" applyFill="1" applyBorder="1" applyAlignment="1">
      <alignment horizontal="center" vertical="center" wrapText="1"/>
    </xf>
    <xf numFmtId="0" fontId="25" fillId="5" borderId="2" xfId="6" applyFont="1" applyFill="1" applyBorder="1" applyAlignment="1">
      <alignment horizontal="center" vertical="center" wrapText="1"/>
    </xf>
    <xf numFmtId="0" fontId="27" fillId="6" borderId="1" xfId="6" applyFont="1" applyFill="1" applyBorder="1" applyAlignment="1">
      <alignment horizontal="left" vertical="center" wrapText="1"/>
    </xf>
    <xf numFmtId="0" fontId="27" fillId="6" borderId="7" xfId="6" applyFont="1" applyFill="1" applyBorder="1" applyAlignment="1">
      <alignment horizontal="left" vertical="center" wrapText="1"/>
    </xf>
    <xf numFmtId="0" fontId="25" fillId="0" borderId="2" xfId="6" applyFont="1" applyBorder="1" applyAlignment="1">
      <alignment horizontal="center" vertical="center" wrapText="1"/>
    </xf>
    <xf numFmtId="0" fontId="34" fillId="7" borderId="1" xfId="7" applyFont="1" applyFill="1" applyBorder="1" applyAlignment="1">
      <alignment horizontal="center" vertical="center" wrapText="1"/>
    </xf>
    <xf numFmtId="0" fontId="34" fillId="7" borderId="6" xfId="7" applyFont="1" applyFill="1" applyBorder="1" applyAlignment="1">
      <alignment horizontal="center" vertical="center" wrapText="1"/>
    </xf>
    <xf numFmtId="0" fontId="34" fillId="7" borderId="7" xfId="7" applyFont="1" applyFill="1" applyBorder="1" applyAlignment="1">
      <alignment horizontal="center" vertical="center" wrapText="1"/>
    </xf>
    <xf numFmtId="0" fontId="18" fillId="0" borderId="1" xfId="7" applyFont="1" applyBorder="1" applyAlignment="1">
      <alignment horizontal="center" vertical="center" wrapText="1"/>
    </xf>
    <xf numFmtId="0" fontId="18" fillId="0" borderId="6" xfId="7" applyFont="1" applyBorder="1" applyAlignment="1">
      <alignment horizontal="center" vertical="center" wrapText="1"/>
    </xf>
    <xf numFmtId="0" fontId="18" fillId="0" borderId="7" xfId="7" applyFont="1" applyBorder="1" applyAlignment="1">
      <alignment horizontal="center" vertical="center" wrapText="1"/>
    </xf>
  </cellXfs>
  <cellStyles count="10">
    <cellStyle name="Normal" xfId="0" builtinId="0"/>
    <cellStyle name="Normal 2" xfId="1" xr:uid="{00000000-0005-0000-0000-000001000000}"/>
    <cellStyle name="Normal 2 10" xfId="7" xr:uid="{10D8C397-E25D-4C23-8434-4CA78E9FB072}"/>
    <cellStyle name="Normal 2 10 2" xfId="9" xr:uid="{F7765DA8-7AB7-473D-B58D-B5F028D2A99C}"/>
    <cellStyle name="Normal 2 2" xfId="3" xr:uid="{F6E57A7D-D4C4-4EDE-B764-6BA471516704}"/>
    <cellStyle name="Normal 2 2 3" xfId="5" xr:uid="{D9ECDB59-F891-407F-83CB-36175D9C3DFB}"/>
    <cellStyle name="Normal 2 3" xfId="8" xr:uid="{75EC419F-AF1C-4829-89CE-BC9ADEDC7046}"/>
    <cellStyle name="Normal 3" xfId="6" xr:uid="{F8D3ACA4-8747-48F1-8E26-FF9CC4744278}"/>
    <cellStyle name="Normal 4 2" xfId="4" xr:uid="{8CAEAB19-6D7E-4439-8164-DD3FDDBB7FD5}"/>
    <cellStyle name="Normal_Sheet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6"/>
  <sheetViews>
    <sheetView tabSelected="1" topLeftCell="A2" zoomScaleNormal="100" zoomScalePageLayoutView="120" workbookViewId="0">
      <selection activeCell="I57" sqref="I57"/>
    </sheetView>
  </sheetViews>
  <sheetFormatPr defaultColWidth="8.77734375" defaultRowHeight="13.2" x14ac:dyDescent="0.25"/>
  <cols>
    <col min="1" max="1" width="3.5546875" style="26" customWidth="1"/>
    <col min="2" max="2" width="25.77734375" style="26" customWidth="1"/>
    <col min="3" max="3" width="13.77734375" style="26" customWidth="1"/>
    <col min="4" max="4" width="5.21875" style="26" customWidth="1"/>
    <col min="5" max="10" width="14.21875" style="26" customWidth="1"/>
    <col min="11" max="11" width="11.77734375" style="26" customWidth="1"/>
    <col min="12" max="16384" width="8.77734375" style="26"/>
  </cols>
  <sheetData>
    <row r="1" spans="1:11" hidden="1" x14ac:dyDescent="0.25">
      <c r="A1" s="5" t="s">
        <v>0</v>
      </c>
      <c r="B1" s="5" t="s">
        <v>1</v>
      </c>
      <c r="C1" s="5"/>
      <c r="D1" s="5" t="s">
        <v>2</v>
      </c>
      <c r="E1" s="5" t="s">
        <v>3</v>
      </c>
      <c r="F1" s="5" t="s">
        <v>4</v>
      </c>
      <c r="G1" s="5" t="s">
        <v>5</v>
      </c>
    </row>
    <row r="2" spans="1:11" ht="37.799999999999997" customHeight="1" x14ac:dyDescent="0.25">
      <c r="A2" s="5"/>
      <c r="B2" s="5"/>
      <c r="C2" s="5"/>
      <c r="D2" s="5"/>
      <c r="E2" s="5"/>
      <c r="F2" s="5"/>
      <c r="G2" s="5"/>
      <c r="I2" s="83" t="s">
        <v>243</v>
      </c>
      <c r="J2" s="83"/>
    </row>
    <row r="3" spans="1:11" ht="16.05" customHeight="1" x14ac:dyDescent="0.25">
      <c r="B3" s="110" t="s">
        <v>18</v>
      </c>
      <c r="C3" s="110"/>
      <c r="D3" s="110"/>
      <c r="E3" s="110"/>
      <c r="F3" s="110"/>
      <c r="G3" s="110"/>
      <c r="H3" s="110"/>
      <c r="I3" s="110"/>
    </row>
    <row r="4" spans="1:11" ht="13.5" customHeight="1" x14ac:dyDescent="0.25">
      <c r="A4" s="27"/>
      <c r="B4" s="6"/>
      <c r="C4" s="6"/>
      <c r="D4" s="6"/>
      <c r="E4" s="6"/>
      <c r="F4" s="6"/>
      <c r="G4" s="6"/>
      <c r="H4" s="6"/>
      <c r="I4" s="6"/>
    </row>
    <row r="5" spans="1:11" ht="13.5" customHeight="1" x14ac:dyDescent="0.25">
      <c r="A5" s="27"/>
      <c r="B5" s="116" t="s">
        <v>66</v>
      </c>
      <c r="C5" s="116"/>
      <c r="D5" s="130" t="s">
        <v>45</v>
      </c>
      <c r="E5" s="130"/>
      <c r="F5" s="130"/>
      <c r="G5" s="130"/>
    </row>
    <row r="6" spans="1:11" s="30" customFormat="1" ht="27.75" customHeight="1" x14ac:dyDescent="0.25">
      <c r="A6" s="29"/>
      <c r="B6" s="117" t="s">
        <v>19</v>
      </c>
      <c r="C6" s="117"/>
      <c r="D6" s="132" t="s">
        <v>102</v>
      </c>
      <c r="E6" s="132"/>
      <c r="F6" s="132"/>
      <c r="G6" s="132"/>
      <c r="H6" s="132"/>
      <c r="I6" s="132"/>
      <c r="J6" s="133"/>
    </row>
    <row r="7" spans="1:11" x14ac:dyDescent="0.25">
      <c r="A7" s="27"/>
      <c r="B7" s="16" t="s">
        <v>10</v>
      </c>
      <c r="C7" s="11" t="s">
        <v>13</v>
      </c>
      <c r="D7" s="7"/>
      <c r="E7" s="7"/>
      <c r="F7" s="7"/>
      <c r="G7" s="7"/>
      <c r="H7" s="7"/>
      <c r="I7" s="7"/>
    </row>
    <row r="8" spans="1:11" x14ac:dyDescent="0.25">
      <c r="A8" s="27"/>
      <c r="B8" s="27"/>
      <c r="C8" s="27"/>
    </row>
    <row r="9" spans="1:11" ht="12.75" customHeight="1" x14ac:dyDescent="0.25">
      <c r="A9" s="1" t="s">
        <v>11</v>
      </c>
      <c r="B9" s="139" t="s">
        <v>20</v>
      </c>
      <c r="C9" s="139"/>
      <c r="D9" s="139"/>
      <c r="E9" s="139"/>
      <c r="F9" s="139"/>
      <c r="G9" s="139"/>
      <c r="H9" s="139"/>
      <c r="I9" s="139"/>
      <c r="J9" s="139"/>
    </row>
    <row r="10" spans="1:11" ht="30.75" customHeight="1" x14ac:dyDescent="0.25">
      <c r="A10" s="4" t="s">
        <v>72</v>
      </c>
      <c r="B10" s="25" t="s">
        <v>16</v>
      </c>
      <c r="C10" s="118" t="s">
        <v>242</v>
      </c>
      <c r="D10" s="118"/>
      <c r="E10" s="118"/>
      <c r="F10" s="118"/>
      <c r="G10" s="118"/>
      <c r="H10" s="118"/>
      <c r="I10" s="118"/>
      <c r="J10" s="119"/>
    </row>
    <row r="11" spans="1:11" ht="182.55" customHeight="1" x14ac:dyDescent="0.25">
      <c r="A11" s="8" t="s">
        <v>73</v>
      </c>
      <c r="B11" s="25" t="s">
        <v>17</v>
      </c>
      <c r="C11" s="120" t="s">
        <v>241</v>
      </c>
      <c r="D11" s="134"/>
      <c r="E11" s="134"/>
      <c r="F11" s="134"/>
      <c r="G11" s="134"/>
      <c r="H11" s="134"/>
      <c r="I11" s="134"/>
      <c r="J11" s="135"/>
      <c r="K11" s="28"/>
    </row>
    <row r="12" spans="1:11" ht="77.55" customHeight="1" x14ac:dyDescent="0.25">
      <c r="A12" s="9" t="s">
        <v>74</v>
      </c>
      <c r="B12" s="17" t="s">
        <v>22</v>
      </c>
      <c r="C12" s="98" t="s">
        <v>103</v>
      </c>
      <c r="D12" s="98"/>
      <c r="E12" s="98"/>
      <c r="F12" s="98"/>
      <c r="G12" s="98"/>
      <c r="H12" s="98"/>
      <c r="I12" s="98"/>
      <c r="J12" s="99"/>
    </row>
    <row r="13" spans="1:11" ht="38.25" customHeight="1" x14ac:dyDescent="0.25">
      <c r="A13" s="4" t="s">
        <v>75</v>
      </c>
      <c r="B13" s="126" t="s">
        <v>30</v>
      </c>
      <c r="C13" s="127"/>
      <c r="D13" s="127"/>
      <c r="E13" s="128"/>
      <c r="F13" s="129"/>
      <c r="G13" s="129"/>
      <c r="H13" s="129"/>
      <c r="I13" s="129"/>
      <c r="J13" s="129"/>
      <c r="K13" s="10"/>
    </row>
    <row r="14" spans="1:11" ht="44.55" customHeight="1" x14ac:dyDescent="0.25">
      <c r="A14" s="84" t="s">
        <v>76</v>
      </c>
      <c r="B14" s="25" t="s">
        <v>28</v>
      </c>
      <c r="C14" s="86" t="s">
        <v>67</v>
      </c>
      <c r="D14" s="87"/>
      <c r="E14" s="88" t="s">
        <v>104</v>
      </c>
      <c r="F14" s="89"/>
      <c r="G14" s="89"/>
      <c r="H14" s="89"/>
      <c r="I14" s="89"/>
      <c r="J14" s="90"/>
    </row>
    <row r="15" spans="1:11" ht="25.5" customHeight="1" x14ac:dyDescent="0.25">
      <c r="A15" s="85"/>
      <c r="B15" s="25" t="s">
        <v>27</v>
      </c>
      <c r="C15" s="86" t="s">
        <v>34</v>
      </c>
      <c r="D15" s="86"/>
      <c r="E15" s="120"/>
      <c r="F15" s="121"/>
      <c r="G15" s="121"/>
      <c r="H15" s="121"/>
      <c r="I15" s="121"/>
      <c r="J15" s="122"/>
    </row>
    <row r="16" spans="1:11" ht="38.25" customHeight="1" x14ac:dyDescent="0.25">
      <c r="A16" s="84" t="s">
        <v>77</v>
      </c>
      <c r="B16" s="93" t="s">
        <v>71</v>
      </c>
      <c r="C16" s="94"/>
      <c r="D16" s="94"/>
      <c r="E16" s="94"/>
      <c r="F16" s="123" t="s">
        <v>70</v>
      </c>
      <c r="G16" s="124"/>
      <c r="H16" s="124"/>
      <c r="I16" s="124"/>
      <c r="J16" s="125"/>
    </row>
    <row r="17" spans="1:10" ht="41.55" customHeight="1" x14ac:dyDescent="0.25">
      <c r="A17" s="91"/>
      <c r="B17" s="100" t="s">
        <v>106</v>
      </c>
      <c r="C17" s="101"/>
      <c r="D17" s="101"/>
      <c r="E17" s="101"/>
      <c r="F17" s="100" t="s">
        <v>105</v>
      </c>
      <c r="G17" s="100"/>
      <c r="H17" s="100"/>
      <c r="I17" s="100"/>
      <c r="J17" s="100"/>
    </row>
    <row r="18" spans="1:10" ht="26.1" customHeight="1" x14ac:dyDescent="0.25">
      <c r="A18" s="92"/>
      <c r="B18" s="95"/>
      <c r="C18" s="96"/>
      <c r="D18" s="96"/>
      <c r="E18" s="96"/>
      <c r="F18" s="97"/>
      <c r="G18" s="98"/>
      <c r="H18" s="98"/>
      <c r="I18" s="98"/>
      <c r="J18" s="99"/>
    </row>
    <row r="19" spans="1:10" ht="14.25" customHeight="1" x14ac:dyDescent="0.25">
      <c r="A19" s="84" t="s">
        <v>78</v>
      </c>
      <c r="B19" s="113" t="s">
        <v>226</v>
      </c>
      <c r="C19" s="114"/>
      <c r="D19" s="114"/>
      <c r="E19" s="114"/>
      <c r="F19" s="114"/>
      <c r="G19" s="114"/>
      <c r="H19" s="114"/>
      <c r="I19" s="114"/>
      <c r="J19" s="115"/>
    </row>
    <row r="20" spans="1:10" ht="61.5" customHeight="1" x14ac:dyDescent="0.25">
      <c r="A20" s="91"/>
      <c r="B20" s="131"/>
      <c r="C20" s="131"/>
      <c r="D20" s="131"/>
      <c r="E20" s="18" t="s">
        <v>98</v>
      </c>
      <c r="F20" s="18" t="s">
        <v>99</v>
      </c>
      <c r="G20" s="18" t="s">
        <v>100</v>
      </c>
      <c r="H20" s="19" t="s">
        <v>91</v>
      </c>
      <c r="I20" s="19" t="s">
        <v>92</v>
      </c>
      <c r="J20" s="19" t="s">
        <v>93</v>
      </c>
    </row>
    <row r="21" spans="1:10" ht="15" customHeight="1" x14ac:dyDescent="0.25">
      <c r="A21" s="91"/>
      <c r="B21" s="163" t="s">
        <v>96</v>
      </c>
      <c r="C21" s="164"/>
      <c r="D21" s="165"/>
      <c r="E21" s="12"/>
      <c r="F21" s="12"/>
      <c r="G21" s="12"/>
      <c r="H21" s="13"/>
      <c r="I21" s="13"/>
      <c r="J21" s="22"/>
    </row>
    <row r="22" spans="1:10" x14ac:dyDescent="0.25">
      <c r="A22" s="91"/>
      <c r="B22" s="111" t="s">
        <v>94</v>
      </c>
      <c r="C22" s="111"/>
      <c r="D22" s="112"/>
      <c r="E22" s="12">
        <v>1024433.9676923077</v>
      </c>
      <c r="F22" s="12">
        <v>1353968.1553846155</v>
      </c>
      <c r="G22" s="12">
        <v>1336245.6400000001</v>
      </c>
      <c r="H22" s="12"/>
      <c r="I22" s="12">
        <v>965340.64</v>
      </c>
      <c r="J22" s="12"/>
    </row>
    <row r="23" spans="1:10" ht="12.75" customHeight="1" x14ac:dyDescent="0.25">
      <c r="A23" s="91"/>
      <c r="B23" s="140" t="s">
        <v>95</v>
      </c>
      <c r="C23" s="141"/>
      <c r="D23" s="141"/>
      <c r="E23" s="12">
        <v>369313.30769230769</v>
      </c>
      <c r="F23" s="12">
        <v>529457.61538461538</v>
      </c>
      <c r="G23" s="12">
        <v>729638</v>
      </c>
      <c r="H23" s="12"/>
      <c r="I23" s="12">
        <v>729638</v>
      </c>
      <c r="J23" s="23"/>
    </row>
    <row r="24" spans="1:10" ht="12.75" customHeight="1" x14ac:dyDescent="0.25">
      <c r="A24" s="91"/>
      <c r="B24" s="140" t="s">
        <v>90</v>
      </c>
      <c r="C24" s="141"/>
      <c r="D24" s="141"/>
      <c r="E24" s="141"/>
      <c r="F24" s="141"/>
      <c r="G24" s="141"/>
      <c r="H24" s="141"/>
      <c r="I24" s="141"/>
      <c r="J24" s="142"/>
    </row>
    <row r="25" spans="1:10" ht="13.5" customHeight="1" x14ac:dyDescent="0.25">
      <c r="A25" s="91"/>
      <c r="B25" s="151" t="s">
        <v>23</v>
      </c>
      <c r="C25" s="151"/>
      <c r="D25" s="152"/>
      <c r="E25" s="12"/>
      <c r="F25" s="12"/>
      <c r="G25" s="12"/>
      <c r="H25" s="12"/>
      <c r="I25" s="14"/>
      <c r="J25" s="23"/>
    </row>
    <row r="26" spans="1:10" ht="13.5" customHeight="1" x14ac:dyDescent="0.25">
      <c r="A26" s="91"/>
      <c r="B26" s="151" t="s">
        <v>6</v>
      </c>
      <c r="C26" s="151"/>
      <c r="D26" s="152"/>
      <c r="E26" s="12">
        <v>1024433.9676923077</v>
      </c>
      <c r="F26" s="12">
        <v>1353968.1553846155</v>
      </c>
      <c r="G26" s="12">
        <v>1336245.6400000001</v>
      </c>
      <c r="H26" s="12"/>
      <c r="I26" s="12">
        <v>965340.64</v>
      </c>
      <c r="J26" s="23"/>
    </row>
    <row r="27" spans="1:10" ht="24" customHeight="1" x14ac:dyDescent="0.25">
      <c r="A27" s="162"/>
      <c r="B27" s="111" t="s">
        <v>101</v>
      </c>
      <c r="C27" s="111"/>
      <c r="D27" s="112"/>
      <c r="E27" s="15" t="s">
        <v>231</v>
      </c>
      <c r="F27" s="15" t="s">
        <v>232</v>
      </c>
      <c r="G27" s="15" t="s">
        <v>227</v>
      </c>
      <c r="H27" s="15"/>
      <c r="I27" s="15" t="s">
        <v>227</v>
      </c>
      <c r="J27" s="24"/>
    </row>
    <row r="28" spans="1:10" x14ac:dyDescent="0.25">
      <c r="A28" s="84" t="s">
        <v>79</v>
      </c>
      <c r="B28" s="143" t="s">
        <v>24</v>
      </c>
      <c r="C28" s="144"/>
      <c r="D28" s="144"/>
      <c r="E28" s="144"/>
      <c r="F28" s="144"/>
      <c r="G28" s="144"/>
      <c r="H28" s="144"/>
      <c r="I28" s="144"/>
      <c r="J28" s="145"/>
    </row>
    <row r="29" spans="1:10" ht="12.75" customHeight="1" x14ac:dyDescent="0.25">
      <c r="A29" s="91"/>
      <c r="B29" s="156" t="s">
        <v>7</v>
      </c>
      <c r="C29" s="157"/>
      <c r="D29" s="158"/>
      <c r="E29" s="156" t="s">
        <v>8</v>
      </c>
      <c r="F29" s="157"/>
      <c r="G29" s="158"/>
      <c r="H29" s="20" t="s">
        <v>98</v>
      </c>
      <c r="I29" s="20" t="s">
        <v>99</v>
      </c>
      <c r="J29" s="20" t="s">
        <v>100</v>
      </c>
    </row>
    <row r="30" spans="1:10" ht="55.05" customHeight="1" x14ac:dyDescent="0.25">
      <c r="A30" s="91"/>
      <c r="B30" s="153" t="s">
        <v>110</v>
      </c>
      <c r="C30" s="154"/>
      <c r="D30" s="155"/>
      <c r="E30" s="153" t="s">
        <v>119</v>
      </c>
      <c r="F30" s="154"/>
      <c r="G30" s="155"/>
      <c r="H30" s="31" t="s">
        <v>112</v>
      </c>
      <c r="I30" s="31" t="s">
        <v>112</v>
      </c>
      <c r="J30" s="31">
        <v>0</v>
      </c>
    </row>
    <row r="31" spans="1:10" ht="48" customHeight="1" x14ac:dyDescent="0.25">
      <c r="A31" s="91"/>
      <c r="B31" s="153" t="s">
        <v>114</v>
      </c>
      <c r="C31" s="154"/>
      <c r="D31" s="155"/>
      <c r="E31" s="153" t="s">
        <v>113</v>
      </c>
      <c r="F31" s="154"/>
      <c r="G31" s="155"/>
      <c r="H31" s="31">
        <v>500</v>
      </c>
      <c r="I31" s="31">
        <v>500</v>
      </c>
      <c r="J31" s="31">
        <v>0</v>
      </c>
    </row>
    <row r="32" spans="1:10" ht="33.6" customHeight="1" x14ac:dyDescent="0.25">
      <c r="A32" s="91"/>
      <c r="B32" s="153" t="s">
        <v>108</v>
      </c>
      <c r="C32" s="154"/>
      <c r="D32" s="155"/>
      <c r="E32" s="159" t="s">
        <v>107</v>
      </c>
      <c r="F32" s="160"/>
      <c r="G32" s="161"/>
      <c r="H32" s="31">
        <v>0</v>
      </c>
      <c r="I32" s="31">
        <v>0</v>
      </c>
      <c r="J32" s="31">
        <v>11000</v>
      </c>
    </row>
    <row r="33" spans="1:10" ht="21" customHeight="1" x14ac:dyDescent="0.25">
      <c r="A33" s="91"/>
      <c r="B33" s="166" t="s">
        <v>116</v>
      </c>
      <c r="C33" s="167"/>
      <c r="D33" s="168"/>
      <c r="E33" s="153" t="s">
        <v>117</v>
      </c>
      <c r="F33" s="154"/>
      <c r="G33" s="155"/>
      <c r="H33" s="31">
        <v>0</v>
      </c>
      <c r="I33" s="31">
        <v>1000</v>
      </c>
      <c r="J33" s="31">
        <v>10</v>
      </c>
    </row>
    <row r="34" spans="1:10" ht="29.55" customHeight="1" x14ac:dyDescent="0.25">
      <c r="A34" s="91"/>
      <c r="B34" s="169"/>
      <c r="C34" s="170"/>
      <c r="D34" s="171"/>
      <c r="E34" s="153" t="s">
        <v>118</v>
      </c>
      <c r="F34" s="154"/>
      <c r="G34" s="155"/>
      <c r="H34" s="31">
        <v>0</v>
      </c>
      <c r="I34" s="31">
        <v>1000</v>
      </c>
      <c r="J34" s="31">
        <v>10</v>
      </c>
    </row>
    <row r="35" spans="1:10" ht="20.55" customHeight="1" x14ac:dyDescent="0.25">
      <c r="A35" s="91"/>
      <c r="B35" s="172"/>
      <c r="C35" s="173"/>
      <c r="D35" s="174"/>
      <c r="E35" s="153" t="s">
        <v>109</v>
      </c>
      <c r="F35" s="154"/>
      <c r="G35" s="155"/>
      <c r="H35" s="31">
        <v>0</v>
      </c>
      <c r="I35" s="31">
        <v>1000</v>
      </c>
      <c r="J35" s="31">
        <v>10</v>
      </c>
    </row>
    <row r="36" spans="1:10" ht="45.6" customHeight="1" x14ac:dyDescent="0.25">
      <c r="A36" s="91"/>
      <c r="B36" s="153" t="s">
        <v>111</v>
      </c>
      <c r="C36" s="154"/>
      <c r="D36" s="155"/>
      <c r="E36" s="153" t="s">
        <v>120</v>
      </c>
      <c r="F36" s="154"/>
      <c r="G36" s="155"/>
      <c r="H36" s="31">
        <v>0</v>
      </c>
      <c r="I36" s="31">
        <v>0</v>
      </c>
      <c r="J36" s="31">
        <v>1500</v>
      </c>
    </row>
    <row r="37" spans="1:10" ht="54" customHeight="1" x14ac:dyDescent="0.25">
      <c r="A37" s="91"/>
      <c r="B37" s="169" t="s">
        <v>115</v>
      </c>
      <c r="C37" s="170"/>
      <c r="D37" s="171"/>
      <c r="E37" s="153" t="s">
        <v>121</v>
      </c>
      <c r="F37" s="154"/>
      <c r="G37" s="155"/>
      <c r="H37" s="31">
        <v>0</v>
      </c>
      <c r="I37" s="31">
        <v>0</v>
      </c>
      <c r="J37" s="31">
        <v>0</v>
      </c>
    </row>
    <row r="38" spans="1:10" ht="66" customHeight="1" x14ac:dyDescent="0.25">
      <c r="A38" s="91"/>
      <c r="B38" s="172"/>
      <c r="C38" s="173"/>
      <c r="D38" s="174"/>
      <c r="E38" s="153" t="s">
        <v>122</v>
      </c>
      <c r="F38" s="154"/>
      <c r="G38" s="155"/>
      <c r="H38" s="31">
        <v>0</v>
      </c>
      <c r="I38" s="31">
        <v>0</v>
      </c>
      <c r="J38" s="31">
        <v>0</v>
      </c>
    </row>
    <row r="39" spans="1:10" ht="25.5" customHeight="1" x14ac:dyDescent="0.25">
      <c r="A39" s="84" t="s">
        <v>80</v>
      </c>
      <c r="B39" s="113" t="s">
        <v>25</v>
      </c>
      <c r="C39" s="114"/>
      <c r="D39" s="114"/>
      <c r="E39" s="114"/>
      <c r="F39" s="114"/>
      <c r="G39" s="114"/>
      <c r="H39" s="114"/>
      <c r="I39" s="114"/>
      <c r="J39" s="115"/>
    </row>
    <row r="40" spans="1:10" ht="13.5" customHeight="1" x14ac:dyDescent="0.25">
      <c r="A40" s="91"/>
      <c r="B40" s="21" t="s">
        <v>14</v>
      </c>
      <c r="C40" s="120"/>
      <c r="D40" s="118"/>
      <c r="E40" s="118"/>
      <c r="F40" s="118"/>
      <c r="G40" s="118"/>
      <c r="H40" s="118"/>
      <c r="I40" s="118"/>
      <c r="J40" s="119"/>
    </row>
    <row r="41" spans="1:10" ht="17.25" customHeight="1" x14ac:dyDescent="0.25">
      <c r="A41" s="91"/>
      <c r="B41" s="21" t="s">
        <v>15</v>
      </c>
      <c r="C41" s="128"/>
      <c r="D41" s="128"/>
      <c r="E41" s="128"/>
      <c r="F41" s="128"/>
      <c r="G41" s="128"/>
      <c r="H41" s="128"/>
      <c r="I41" s="128"/>
      <c r="J41" s="128"/>
    </row>
    <row r="42" spans="1:10" ht="24.75" customHeight="1" x14ac:dyDescent="0.25">
      <c r="A42" s="91"/>
      <c r="B42" s="21" t="s">
        <v>12</v>
      </c>
      <c r="C42" s="128"/>
      <c r="D42" s="128"/>
      <c r="E42" s="128"/>
      <c r="F42" s="128"/>
      <c r="G42" s="128"/>
      <c r="H42" s="128"/>
      <c r="I42" s="128"/>
      <c r="J42" s="128"/>
    </row>
    <row r="43" spans="1:10" x14ac:dyDescent="0.25">
      <c r="A43" s="91"/>
      <c r="B43" s="140" t="s">
        <v>88</v>
      </c>
      <c r="C43" s="141"/>
      <c r="D43" s="141"/>
      <c r="E43" s="141"/>
      <c r="F43" s="141"/>
      <c r="G43" s="141"/>
      <c r="H43" s="141"/>
      <c r="I43" s="149"/>
      <c r="J43" s="150"/>
    </row>
    <row r="44" spans="1:10" ht="16.5" customHeight="1" x14ac:dyDescent="0.25">
      <c r="A44" s="162"/>
      <c r="B44" s="146"/>
      <c r="C44" s="147"/>
      <c r="D44" s="147"/>
      <c r="E44" s="147"/>
      <c r="F44" s="147"/>
      <c r="G44" s="147"/>
      <c r="H44" s="147"/>
      <c r="I44" s="147"/>
      <c r="J44" s="148"/>
    </row>
    <row r="45" spans="1:10" ht="193.05" customHeight="1" x14ac:dyDescent="0.25">
      <c r="A45" s="4" t="s">
        <v>81</v>
      </c>
      <c r="B45" s="136" t="s">
        <v>240</v>
      </c>
      <c r="C45" s="137"/>
      <c r="D45" s="137"/>
      <c r="E45" s="137"/>
      <c r="F45" s="137"/>
      <c r="G45" s="137"/>
      <c r="H45" s="137"/>
      <c r="I45" s="137"/>
      <c r="J45" s="138"/>
    </row>
    <row r="46" spans="1:10" ht="30.75" customHeight="1" x14ac:dyDescent="0.25">
      <c r="B46" s="107" t="s">
        <v>233</v>
      </c>
      <c r="C46" s="107"/>
      <c r="D46" s="107"/>
      <c r="E46" s="107"/>
      <c r="F46" s="108"/>
      <c r="G46" s="108"/>
    </row>
    <row r="47" spans="1:10" ht="14.4" x14ac:dyDescent="0.3">
      <c r="B47" s="105" t="s">
        <v>21</v>
      </c>
      <c r="C47" s="105"/>
      <c r="D47" s="105"/>
      <c r="E47" s="105"/>
      <c r="F47" s="106"/>
      <c r="G47" s="106"/>
    </row>
    <row r="48" spans="1:10" ht="14.4" x14ac:dyDescent="0.3">
      <c r="B48" s="103" t="s">
        <v>229</v>
      </c>
      <c r="C48" s="103"/>
      <c r="D48" s="103"/>
      <c r="E48" s="103"/>
      <c r="F48" s="109"/>
      <c r="G48" s="109"/>
    </row>
    <row r="49" spans="1:10" ht="14.4" x14ac:dyDescent="0.3">
      <c r="B49" s="105" t="s">
        <v>89</v>
      </c>
      <c r="C49" s="105"/>
      <c r="D49" s="105"/>
      <c r="E49" s="105"/>
      <c r="F49" s="106"/>
      <c r="G49" s="106"/>
    </row>
    <row r="50" spans="1:10" ht="14.4" x14ac:dyDescent="0.25">
      <c r="B50" s="103" t="s">
        <v>239</v>
      </c>
      <c r="C50" s="104"/>
      <c r="D50" s="80"/>
      <c r="E50" s="80"/>
      <c r="F50" s="80"/>
      <c r="G50" s="80"/>
    </row>
    <row r="51" spans="1:10" ht="14.4" x14ac:dyDescent="0.3">
      <c r="B51" s="105" t="s">
        <v>26</v>
      </c>
      <c r="C51" s="106"/>
      <c r="D51" s="80"/>
      <c r="E51" s="80"/>
      <c r="F51" s="80"/>
      <c r="G51" s="80"/>
    </row>
    <row r="52" spans="1:10" ht="14.4" x14ac:dyDescent="0.25">
      <c r="B52" s="103" t="s">
        <v>228</v>
      </c>
      <c r="C52" s="104"/>
      <c r="D52" s="80"/>
      <c r="E52" s="80"/>
      <c r="F52" s="80"/>
      <c r="G52" s="80"/>
    </row>
    <row r="53" spans="1:10" ht="14.4" x14ac:dyDescent="0.3">
      <c r="B53" s="105" t="s">
        <v>29</v>
      </c>
      <c r="C53" s="106"/>
      <c r="D53" s="80"/>
      <c r="E53" s="80"/>
      <c r="F53" s="80"/>
      <c r="G53" s="80"/>
    </row>
    <row r="54" spans="1:10" ht="48.75" customHeight="1" x14ac:dyDescent="0.25">
      <c r="A54" s="102" t="s">
        <v>97</v>
      </c>
      <c r="B54" s="102"/>
      <c r="C54" s="102"/>
      <c r="D54" s="102"/>
      <c r="E54" s="102"/>
      <c r="F54" s="102"/>
      <c r="G54" s="102"/>
      <c r="H54" s="102"/>
      <c r="I54" s="102"/>
      <c r="J54" s="102"/>
    </row>
    <row r="56" spans="1:10" x14ac:dyDescent="0.25">
      <c r="B56" s="82" t="s">
        <v>244</v>
      </c>
      <c r="C56" s="82"/>
      <c r="D56" s="82"/>
      <c r="E56" s="82"/>
      <c r="F56" s="82"/>
      <c r="G56" s="82"/>
      <c r="H56" s="82" t="s">
        <v>245</v>
      </c>
    </row>
  </sheetData>
  <dataConsolidate/>
  <mergeCells count="71">
    <mergeCell ref="E33:G33"/>
    <mergeCell ref="E36:G36"/>
    <mergeCell ref="B36:D36"/>
    <mergeCell ref="E38:G38"/>
    <mergeCell ref="E37:G37"/>
    <mergeCell ref="E35:G35"/>
    <mergeCell ref="A39:A44"/>
    <mergeCell ref="A19:A27"/>
    <mergeCell ref="A28:A38"/>
    <mergeCell ref="B26:D26"/>
    <mergeCell ref="B29:D29"/>
    <mergeCell ref="B21:D21"/>
    <mergeCell ref="B33:D35"/>
    <mergeCell ref="B37:D38"/>
    <mergeCell ref="B32:D32"/>
    <mergeCell ref="E31:G31"/>
    <mergeCell ref="E32:G32"/>
    <mergeCell ref="B31:D31"/>
    <mergeCell ref="B30:D30"/>
    <mergeCell ref="E30:G30"/>
    <mergeCell ref="B45:J45"/>
    <mergeCell ref="B9:J9"/>
    <mergeCell ref="B39:J39"/>
    <mergeCell ref="C40:J40"/>
    <mergeCell ref="C41:J41"/>
    <mergeCell ref="B24:J24"/>
    <mergeCell ref="B23:D23"/>
    <mergeCell ref="B28:J28"/>
    <mergeCell ref="B22:D22"/>
    <mergeCell ref="B44:J44"/>
    <mergeCell ref="B43:H43"/>
    <mergeCell ref="I43:J43"/>
    <mergeCell ref="C42:J42"/>
    <mergeCell ref="B25:D25"/>
    <mergeCell ref="E34:G34"/>
    <mergeCell ref="E29:G29"/>
    <mergeCell ref="B27:D27"/>
    <mergeCell ref="B19:J19"/>
    <mergeCell ref="B5:C5"/>
    <mergeCell ref="B6:C6"/>
    <mergeCell ref="C10:J10"/>
    <mergeCell ref="C12:J12"/>
    <mergeCell ref="E15:J15"/>
    <mergeCell ref="F16:J16"/>
    <mergeCell ref="B13:D13"/>
    <mergeCell ref="E13:J13"/>
    <mergeCell ref="D5:G5"/>
    <mergeCell ref="B20:D20"/>
    <mergeCell ref="D6:J6"/>
    <mergeCell ref="C11:J11"/>
    <mergeCell ref="A54:J54"/>
    <mergeCell ref="B52:C52"/>
    <mergeCell ref="B53:C53"/>
    <mergeCell ref="B46:G46"/>
    <mergeCell ref="B47:G47"/>
    <mergeCell ref="B48:G48"/>
    <mergeCell ref="B49:G49"/>
    <mergeCell ref="B50:C50"/>
    <mergeCell ref="B51:C51"/>
    <mergeCell ref="A16:A18"/>
    <mergeCell ref="B16:E16"/>
    <mergeCell ref="B18:E18"/>
    <mergeCell ref="F18:J18"/>
    <mergeCell ref="B17:E17"/>
    <mergeCell ref="F17:J17"/>
    <mergeCell ref="I2:J2"/>
    <mergeCell ref="A14:A15"/>
    <mergeCell ref="C14:D14"/>
    <mergeCell ref="C15:D15"/>
    <mergeCell ref="E14:J14"/>
    <mergeCell ref="B3:I3"/>
  </mergeCells>
  <phoneticPr fontId="0" type="noConversion"/>
  <dataValidations count="9">
    <dataValidation type="whole" errorStyle="information" allowBlank="1" showInputMessage="1" showErrorMessage="1" error="Jāievada skaitlis" sqref="I22 J25:J26 E25:I25 I26" xr:uid="{00000000-0002-0000-0000-000000000000}">
      <formula1>-100000000000000</formula1>
      <formula2>100000000000000</formula2>
    </dataValidation>
    <dataValidation type="whole" errorStyle="information" allowBlank="1" showInputMessage="1" showErrorMessage="1" error="Jāievada skaitlis" sqref="E21:H23 J21:J23 I21 E26:H26 I23" xr:uid="{00000000-0002-0000-0000-000001000000}">
      <formula1>-1000000000000</formula1>
      <formula2>1000000000000</formula2>
    </dataValidation>
    <dataValidation errorStyle="information" allowBlank="1" showInputMessage="1" showErrorMessage="1" sqref="D6:I6" xr:uid="{00000000-0002-0000-0000-000002000000}"/>
    <dataValidation type="custom" errorStyle="information" allowBlank="1" showInputMessage="1" showErrorMessage="1" error="Ir ievadītas vairāk nekā 250 zīmes" prompt="ne vairāk kā 250 zīmju" sqref="C10:J10" xr:uid="{00000000-0002-0000-0000-000003000000}">
      <formula1>LEN(TRIM(C10))&lt;=250</formula1>
    </dataValidation>
    <dataValidation type="custom" errorStyle="information" allowBlank="1" showInputMessage="1" showErrorMessage="1" error="Ir ievadīti vairāk nekā 200 vārdi" prompt="apraksts, ne vairāk kā 200 vārdu" sqref="E14:J15" xr:uid="{00000000-0002-0000-0000-000004000000}">
      <formula1>LEN(TRIM(E14))-LEN(SUBSTITUTE(E14," ",""))+1&lt;201</formula1>
    </dataValidation>
    <dataValidation type="custom" errorStyle="information" allowBlank="1" showInputMessage="1" showErrorMessage="1" error="Ir ievadīti vairāk nekā 250 vārdi" prompt="ne vairāk kā 250 vārdu" sqref="C11:J11" xr:uid="{00000000-0002-0000-0000-000005000000}">
      <formula1>LEN(TRIM(C11))-LEN(SUBSTITUTE(C11," ",""))+1&lt;251</formula1>
    </dataValidation>
    <dataValidation allowBlank="1" showInputMessage="1" showErrorMessage="1" prompt="Norāda Valdības rīcības plāna punktu, kura izpildi nodrošinās attiecīgais prioritārais pasākums" sqref="C12:J12" xr:uid="{4B4A9CE4-2AE8-4DEF-B376-0416B6FD4E8C}"/>
    <dataValidation allowBlank="1" showInputMessage="1" showErrorMessage="1" prompt="Citē atbilstošo vidēja termiņa budžeta ietvara likuma pantu, punktu. " sqref="E13:J13" xr:uid="{00000000-0002-0000-0000-000007000000}"/>
    <dataValidation allowBlank="1" showInputMessage="1" showErrorMessage="1" prompt="Norāda Ministru kabineta vai Saeimas lēmumu, gadu, pasākuma kodu" sqref="B44:J44" xr:uid="{00000000-0002-0000-0000-000008000000}"/>
  </dataValidations>
  <pageMargins left="0.59055118110236227" right="0.59055118110236227" top="0.39370078740157483" bottom="0.39370078740157483" header="0" footer="0"/>
  <pageSetup paperSize="9" orientation="landscape" r:id="rId1"/>
  <headerFooter alignWithMargins="0">
    <oddFooter>&amp;C&amp;"Times New Roman,Regular"&amp;P</oddFooter>
  </headerFooter>
  <extLst>
    <ext xmlns:x14="http://schemas.microsoft.com/office/spreadsheetml/2009/9/main" uri="{CCE6A557-97BC-4b89-ADB6-D9C93CAAB3DF}">
      <x14:dataValidations xmlns:xm="http://schemas.microsoft.com/office/excel/2006/main" count="5">
        <x14:dataValidation type="list" errorStyle="information" allowBlank="1" showInputMessage="1" showErrorMessage="1" error="Varētu būt kļūda" prompt="Izvēlieties no saraksta ietekmes variantu" xr:uid="{00000000-0002-0000-0000-000009000000}">
          <x14:formula1>
            <xm:f>Šabloni!$A$2:$A$4</xm:f>
          </x14:formula1>
          <xm:sqref>C14:D14</xm:sqref>
        </x14:dataValidation>
        <x14:dataValidation type="list" errorStyle="information" allowBlank="1" showInputMessage="1" showErrorMessage="1" error="Varētu būt kļūda" prompt="Izvēlieties no saraksta atbilstošo variantu" xr:uid="{00000000-0002-0000-0000-00000A000000}">
          <x14:formula1>
            <xm:f>Šabloni!$A$8:$A$9</xm:f>
          </x14:formula1>
          <xm:sqref>C15:D15</xm:sqref>
        </x14:dataValidation>
        <x14:dataValidation type="list" errorStyle="information" allowBlank="1" showInputMessage="1" showErrorMessage="1" error="iespējama kļūda" prompt="Izvēlieties no saraksta iestādi" xr:uid="{00000000-0002-0000-0000-00000B000000}">
          <x14:formula1>
            <xm:f>Šabloni!$A$13:$A$41</xm:f>
          </x14:formula1>
          <xm:sqref>D5:G5</xm:sqref>
        </x14:dataValidation>
        <x14:dataValidation type="list" allowBlank="1" showInputMessage="1" showErrorMessage="1" prompt="Izvēlieties no saraksta atbilstošo variantu" xr:uid="{00000000-0002-0000-0000-00000C000000}">
          <x14:formula1>
            <xm:f>Šabloni!$A$49:$A$50</xm:f>
          </x14:formula1>
          <xm:sqref>I43:J43</xm:sqref>
        </x14:dataValidation>
        <x14:dataValidation type="list" allowBlank="1" showInputMessage="1" showErrorMessage="1" prompt="Izvēlieties no saraksta veicamo darbību" xr:uid="{00000000-0002-0000-0000-00000D000000}">
          <x14:formula1>
            <xm:f>Šabloni!A45:A47</xm:f>
          </x14:formula1>
          <xm:sqref>C41:J41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D40CB-528A-47B2-9464-E51FB7F7BF54}">
  <dimension ref="A1:I30"/>
  <sheetViews>
    <sheetView workbookViewId="0">
      <selection activeCell="G6" sqref="G6"/>
    </sheetView>
  </sheetViews>
  <sheetFormatPr defaultColWidth="9.21875" defaultRowHeight="13.2" x14ac:dyDescent="0.25"/>
  <cols>
    <col min="1" max="1" width="5.5546875" style="33" customWidth="1"/>
    <col min="2" max="2" width="40.21875" style="33" customWidth="1"/>
    <col min="3" max="3" width="12.21875" style="33" customWidth="1"/>
    <col min="4" max="4" width="12.5546875" style="33" customWidth="1"/>
    <col min="5" max="7" width="14.21875" style="33" customWidth="1"/>
    <col min="8" max="8" width="47.21875" style="33" customWidth="1"/>
    <col min="9" max="9" width="42.77734375" style="33" customWidth="1"/>
    <col min="10" max="16384" width="9.21875" style="33"/>
  </cols>
  <sheetData>
    <row r="1" spans="1:8" ht="13.8" x14ac:dyDescent="0.25">
      <c r="A1" s="32" t="s">
        <v>123</v>
      </c>
      <c r="H1" s="34"/>
    </row>
    <row r="2" spans="1:8" x14ac:dyDescent="0.25">
      <c r="H2" s="36"/>
    </row>
    <row r="3" spans="1:8" ht="12.6" customHeight="1" x14ac:dyDescent="0.25">
      <c r="A3" s="180" t="s">
        <v>124</v>
      </c>
      <c r="B3" s="180"/>
      <c r="C3" s="175" t="s">
        <v>125</v>
      </c>
      <c r="D3" s="175" t="s">
        <v>126</v>
      </c>
      <c r="E3" s="175" t="s">
        <v>127</v>
      </c>
      <c r="F3" s="175" t="s">
        <v>230</v>
      </c>
      <c r="G3" s="175" t="s">
        <v>128</v>
      </c>
      <c r="H3" s="175" t="s">
        <v>129</v>
      </c>
    </row>
    <row r="4" spans="1:8" ht="12.6" customHeight="1" x14ac:dyDescent="0.25">
      <c r="A4" s="180"/>
      <c r="B4" s="180"/>
      <c r="C4" s="175"/>
      <c r="D4" s="175"/>
      <c r="E4" s="175"/>
      <c r="F4" s="175"/>
      <c r="G4" s="175"/>
      <c r="H4" s="175"/>
    </row>
    <row r="5" spans="1:8" ht="15.6" x14ac:dyDescent="0.25">
      <c r="A5" s="176" t="s">
        <v>130</v>
      </c>
      <c r="B5" s="176"/>
      <c r="C5" s="37"/>
      <c r="D5" s="37">
        <v>7</v>
      </c>
      <c r="E5" s="37">
        <v>11</v>
      </c>
      <c r="F5" s="37">
        <v>16</v>
      </c>
      <c r="G5" s="37">
        <v>16</v>
      </c>
      <c r="H5" s="37"/>
    </row>
    <row r="6" spans="1:8" ht="15.6" x14ac:dyDescent="0.25">
      <c r="A6" s="177" t="s">
        <v>131</v>
      </c>
      <c r="B6" s="177"/>
      <c r="C6" s="38">
        <f>C7+C12+C28</f>
        <v>1754720</v>
      </c>
      <c r="D6" s="38">
        <f>D7+D12+D28</f>
        <v>1024433.9676923077</v>
      </c>
      <c r="E6" s="38">
        <f>E7+E12+E28</f>
        <v>1353968.1553846155</v>
      </c>
      <c r="F6" s="38">
        <f>F7+F12+F28</f>
        <v>1336245.6400000001</v>
      </c>
      <c r="G6" s="38">
        <f>G7+G12+G28</f>
        <v>965340.64</v>
      </c>
      <c r="H6" s="38"/>
    </row>
    <row r="7" spans="1:8" ht="16.2" x14ac:dyDescent="0.35">
      <c r="A7" s="178" t="s">
        <v>132</v>
      </c>
      <c r="B7" s="179"/>
      <c r="C7" s="39">
        <f>C8</f>
        <v>0</v>
      </c>
      <c r="D7" s="40">
        <f>D8</f>
        <v>369313.30769230769</v>
      </c>
      <c r="E7" s="40">
        <f>E8</f>
        <v>529457.61538461538</v>
      </c>
      <c r="F7" s="40">
        <f>F8</f>
        <v>729638</v>
      </c>
      <c r="G7" s="40">
        <f>G8</f>
        <v>729638</v>
      </c>
      <c r="H7" s="39"/>
    </row>
    <row r="8" spans="1:8" ht="15.6" x14ac:dyDescent="0.25">
      <c r="A8" s="41">
        <v>1</v>
      </c>
      <c r="B8" s="42" t="s">
        <v>133</v>
      </c>
      <c r="C8" s="43"/>
      <c r="D8" s="44">
        <f>SUM(D9:D11)</f>
        <v>369313.30769230769</v>
      </c>
      <c r="E8" s="44">
        <f>SUM(E9:E11)</f>
        <v>529457.61538461538</v>
      </c>
      <c r="F8" s="44">
        <f>SUM(F9:F11)</f>
        <v>729638</v>
      </c>
      <c r="G8" s="44">
        <f>SUM(G9:G11)</f>
        <v>729638</v>
      </c>
      <c r="H8" s="44"/>
    </row>
    <row r="9" spans="1:8" x14ac:dyDescent="0.25">
      <c r="A9" s="45" t="s">
        <v>134</v>
      </c>
      <c r="B9" s="46" t="s">
        <v>135</v>
      </c>
      <c r="C9" s="47"/>
      <c r="D9" s="47">
        <f>Atlidz._aprekins!O11+Atlidz._aprekins!W11+Atlidz._aprekins!AE11+Atlidz._aprekins!G11/13*4</f>
        <v>286832.92307692306</v>
      </c>
      <c r="E9" s="47">
        <f>Atlidz._aprekins!O11+Atlidz._aprekins!W11+Atlidz._aprekins!AE11+Atlidz._aprekins!G11/13*8</f>
        <v>411229.84615384613</v>
      </c>
      <c r="F9" s="47">
        <f>Atlidz._aprekins!AG11</f>
        <v>566726</v>
      </c>
      <c r="G9" s="47">
        <f>Atlidz._aprekins!AG11</f>
        <v>566726</v>
      </c>
      <c r="H9" s="48"/>
    </row>
    <row r="10" spans="1:8" x14ac:dyDescent="0.25">
      <c r="A10" s="45" t="s">
        <v>136</v>
      </c>
      <c r="B10" s="46" t="s">
        <v>137</v>
      </c>
      <c r="C10" s="47"/>
      <c r="D10" s="47">
        <f>Atlidz._aprekins!O17+Atlidz._aprekins!W17+Atlidz._aprekins!AE17+Atlidz._aprekins!G17/13*4</f>
        <v>70153.461538461532</v>
      </c>
      <c r="E10" s="47">
        <f>Atlidz._aprekins!O17+Atlidz._aprekins!W17+Atlidz._aprekins!AE17+Atlidz._aprekins!G17/13*8</f>
        <v>100527.92307692308</v>
      </c>
      <c r="F10" s="47">
        <f>Atlidz._aprekins!AG22</f>
        <v>24416</v>
      </c>
      <c r="G10" s="47">
        <f>Atlidz._aprekins!AG22</f>
        <v>24416</v>
      </c>
      <c r="H10" s="48"/>
    </row>
    <row r="11" spans="1:8" x14ac:dyDescent="0.25">
      <c r="A11" s="45" t="s">
        <v>138</v>
      </c>
      <c r="B11" s="46" t="s">
        <v>139</v>
      </c>
      <c r="C11" s="47"/>
      <c r="D11" s="47">
        <f>Atlidz._aprekins!O22+Atlidz._aprekins!W21+Atlidz._aprekins!AE21+Atlidz._aprekins!G22/13*4</f>
        <v>12326.923076923078</v>
      </c>
      <c r="E11" s="47">
        <f>Atlidz._aprekins!O22+Atlidz._aprekins!W21+Atlidz._aprekins!AE21+Atlidz._aprekins!G22/13*8</f>
        <v>17699.846153846156</v>
      </c>
      <c r="F11" s="47">
        <f>Atlidz._aprekins!AG17</f>
        <v>138496</v>
      </c>
      <c r="G11" s="47">
        <f>Atlidz._aprekins!AG17</f>
        <v>138496</v>
      </c>
      <c r="H11" s="47"/>
    </row>
    <row r="12" spans="1:8" ht="16.2" x14ac:dyDescent="0.25">
      <c r="A12" s="49" t="s">
        <v>140</v>
      </c>
      <c r="B12" s="49"/>
      <c r="C12" s="50">
        <f>SUM(C13:C27)</f>
        <v>35520</v>
      </c>
      <c r="D12" s="50">
        <f>SUM(D13:D27)</f>
        <v>46720.659999999996</v>
      </c>
      <c r="E12" s="50">
        <f>SUM(E13:E27)</f>
        <v>119710.54</v>
      </c>
      <c r="F12" s="50">
        <f>SUM(F13:F27)</f>
        <v>200607.64</v>
      </c>
      <c r="G12" s="50">
        <f>SUM(G13:G27)</f>
        <v>235702.64</v>
      </c>
      <c r="H12" s="50"/>
    </row>
    <row r="13" spans="1:8" ht="75" customHeight="1" x14ac:dyDescent="0.25">
      <c r="A13" s="51" t="s">
        <v>73</v>
      </c>
      <c r="B13" s="42" t="s">
        <v>141</v>
      </c>
      <c r="C13" s="43"/>
      <c r="D13" s="44">
        <f>D5*119*12</f>
        <v>9996</v>
      </c>
      <c r="E13" s="44">
        <f>E5*119*12</f>
        <v>15708</v>
      </c>
      <c r="F13" s="44">
        <f>F5*119*12</f>
        <v>22848</v>
      </c>
      <c r="G13" s="44">
        <f>G5*119*12</f>
        <v>22848</v>
      </c>
      <c r="H13" s="51" t="s">
        <v>234</v>
      </c>
    </row>
    <row r="14" spans="1:8" ht="15.6" x14ac:dyDescent="0.25">
      <c r="A14" s="51" t="s">
        <v>74</v>
      </c>
      <c r="B14" s="42" t="s">
        <v>142</v>
      </c>
      <c r="C14" s="43"/>
      <c r="D14" s="44">
        <f>D5*150</f>
        <v>1050</v>
      </c>
      <c r="E14" s="44">
        <f>$E$5*150</f>
        <v>1650</v>
      </c>
      <c r="F14" s="44">
        <f>$F$5*150</f>
        <v>2400</v>
      </c>
      <c r="G14" s="44">
        <f>$G$5*150</f>
        <v>2400</v>
      </c>
      <c r="H14" s="51" t="s">
        <v>143</v>
      </c>
    </row>
    <row r="15" spans="1:8" ht="39.6" x14ac:dyDescent="0.25">
      <c r="A15" s="51" t="s">
        <v>75</v>
      </c>
      <c r="B15" s="42" t="s">
        <v>144</v>
      </c>
      <c r="C15" s="43"/>
      <c r="D15" s="44">
        <f>D5*5.97</f>
        <v>41.79</v>
      </c>
      <c r="E15" s="44">
        <f>$E$5*5.97</f>
        <v>65.67</v>
      </c>
      <c r="F15" s="44">
        <f>$F$5*5.97</f>
        <v>95.52</v>
      </c>
      <c r="G15" s="44">
        <f>$G$5*5.97</f>
        <v>95.52</v>
      </c>
      <c r="H15" s="51" t="s">
        <v>145</v>
      </c>
    </row>
    <row r="16" spans="1:8" ht="15.6" x14ac:dyDescent="0.25">
      <c r="A16" s="51" t="s">
        <v>76</v>
      </c>
      <c r="B16" s="42" t="s">
        <v>146</v>
      </c>
      <c r="C16" s="43"/>
      <c r="D16" s="44">
        <f>D5*0.74*12</f>
        <v>62.16</v>
      </c>
      <c r="E16" s="44">
        <f>$E$5*0.74*12</f>
        <v>97.68</v>
      </c>
      <c r="F16" s="44">
        <f>$F$5*0.74*12</f>
        <v>142.07999999999998</v>
      </c>
      <c r="G16" s="44">
        <f>$G$5*0.74*12</f>
        <v>142.07999999999998</v>
      </c>
      <c r="H16" s="51" t="s">
        <v>147</v>
      </c>
    </row>
    <row r="17" spans="1:9" ht="15.6" x14ac:dyDescent="0.25">
      <c r="A17" s="51" t="s">
        <v>77</v>
      </c>
      <c r="B17" s="42" t="s">
        <v>148</v>
      </c>
      <c r="C17" s="43"/>
      <c r="D17" s="44">
        <f>D5*4.72*12</f>
        <v>396.48</v>
      </c>
      <c r="E17" s="44">
        <f>E5*4.72*12</f>
        <v>623.04</v>
      </c>
      <c r="F17" s="44">
        <f>F5*4.72*12</f>
        <v>906.24</v>
      </c>
      <c r="G17" s="44">
        <f>G5*4.72*12</f>
        <v>906.24</v>
      </c>
      <c r="H17" s="51" t="s">
        <v>149</v>
      </c>
    </row>
    <row r="18" spans="1:9" ht="26.4" x14ac:dyDescent="0.25">
      <c r="A18" s="51" t="s">
        <v>78</v>
      </c>
      <c r="B18" s="42" t="s">
        <v>150</v>
      </c>
      <c r="C18" s="43"/>
      <c r="D18" s="44">
        <f>5*1995</f>
        <v>9975</v>
      </c>
      <c r="E18" s="44">
        <f>9*1995</f>
        <v>17955</v>
      </c>
      <c r="F18" s="44">
        <f>14*1995</f>
        <v>27930</v>
      </c>
      <c r="G18" s="44">
        <f>14*1995</f>
        <v>27930</v>
      </c>
      <c r="H18" s="51" t="s">
        <v>151</v>
      </c>
      <c r="I18" s="35"/>
    </row>
    <row r="19" spans="1:9" ht="16.5" customHeight="1" x14ac:dyDescent="0.25">
      <c r="A19" s="51" t="s">
        <v>79</v>
      </c>
      <c r="B19" s="42" t="s">
        <v>152</v>
      </c>
      <c r="C19" s="43">
        <f>16*439</f>
        <v>7024</v>
      </c>
      <c r="D19" s="44">
        <f>D5*439</f>
        <v>3073</v>
      </c>
      <c r="E19" s="44">
        <f>E5*439-D19</f>
        <v>1756</v>
      </c>
      <c r="F19" s="44">
        <f>F5*439-D19-E19</f>
        <v>2195</v>
      </c>
      <c r="G19" s="44"/>
      <c r="H19" s="51" t="s">
        <v>153</v>
      </c>
    </row>
    <row r="20" spans="1:9" ht="26.4" x14ac:dyDescent="0.25">
      <c r="A20" s="51" t="s">
        <v>80</v>
      </c>
      <c r="B20" s="42" t="s">
        <v>154</v>
      </c>
      <c r="C20" s="43">
        <f>16*367</f>
        <v>5872</v>
      </c>
      <c r="D20" s="44">
        <f>D5*367</f>
        <v>2569</v>
      </c>
      <c r="E20" s="44">
        <f>E5*367-D20</f>
        <v>1468</v>
      </c>
      <c r="F20" s="44">
        <f>F5*367-D20-E20</f>
        <v>1835</v>
      </c>
      <c r="G20" s="44"/>
      <c r="H20" s="51" t="s">
        <v>155</v>
      </c>
    </row>
    <row r="21" spans="1:9" ht="105.6" x14ac:dyDescent="0.25">
      <c r="A21" s="51" t="s">
        <v>81</v>
      </c>
      <c r="B21" s="42" t="s">
        <v>156</v>
      </c>
      <c r="C21" s="43"/>
      <c r="D21" s="44">
        <f>51.16*12</f>
        <v>613.91999999999996</v>
      </c>
      <c r="E21" s="44">
        <f t="shared" ref="E21:G21" si="0">51.16*12</f>
        <v>613.91999999999996</v>
      </c>
      <c r="F21" s="44">
        <f t="shared" si="0"/>
        <v>613.91999999999996</v>
      </c>
      <c r="G21" s="44">
        <f t="shared" si="0"/>
        <v>613.91999999999996</v>
      </c>
      <c r="H21" s="51" t="s">
        <v>157</v>
      </c>
    </row>
    <row r="22" spans="1:9" ht="52.8" x14ac:dyDescent="0.25">
      <c r="A22" s="51" t="s">
        <v>158</v>
      </c>
      <c r="B22" s="42" t="s">
        <v>159</v>
      </c>
      <c r="C22" s="43"/>
      <c r="D22" s="44">
        <f>(433.5*12)+(24.2*6)</f>
        <v>5347.2</v>
      </c>
      <c r="E22" s="44">
        <f t="shared" ref="E22:G22" si="1">(433.5*12)+(24.2*6)</f>
        <v>5347.2</v>
      </c>
      <c r="F22" s="44">
        <f t="shared" si="1"/>
        <v>5347.2</v>
      </c>
      <c r="G22" s="44">
        <f t="shared" si="1"/>
        <v>5347.2</v>
      </c>
      <c r="H22" s="51" t="s">
        <v>160</v>
      </c>
    </row>
    <row r="23" spans="1:9" ht="66" x14ac:dyDescent="0.25">
      <c r="A23" s="51" t="s">
        <v>161</v>
      </c>
      <c r="B23" s="42" t="s">
        <v>162</v>
      </c>
      <c r="C23" s="43"/>
      <c r="D23" s="44">
        <f>D5*301.73</f>
        <v>2112.11</v>
      </c>
      <c r="E23" s="44">
        <f>E5*301.73</f>
        <v>3319.03</v>
      </c>
      <c r="F23" s="44">
        <f>F5*301.73</f>
        <v>4827.68</v>
      </c>
      <c r="G23" s="44">
        <f>G5*301.73</f>
        <v>4827.68</v>
      </c>
      <c r="H23" s="51" t="s">
        <v>163</v>
      </c>
    </row>
    <row r="24" spans="1:9" ht="15.6" x14ac:dyDescent="0.25">
      <c r="A24" s="51" t="s">
        <v>164</v>
      </c>
      <c r="B24" s="42" t="s">
        <v>165</v>
      </c>
      <c r="C24" s="43"/>
      <c r="D24" s="44">
        <f>D5*37</f>
        <v>259</v>
      </c>
      <c r="E24" s="44">
        <f>E5*37</f>
        <v>407</v>
      </c>
      <c r="F24" s="44">
        <f>F5*37</f>
        <v>592</v>
      </c>
      <c r="G24" s="44">
        <f>G5*37</f>
        <v>592</v>
      </c>
      <c r="H24" s="51" t="s">
        <v>166</v>
      </c>
    </row>
    <row r="25" spans="1:9" ht="26.4" x14ac:dyDescent="0.25">
      <c r="A25" s="51" t="s">
        <v>167</v>
      </c>
      <c r="B25" s="42" t="s">
        <v>168</v>
      </c>
      <c r="C25" s="43">
        <f>16*164</f>
        <v>2624</v>
      </c>
      <c r="D25" s="44">
        <f>D5*175</f>
        <v>1225</v>
      </c>
      <c r="E25" s="44">
        <f>E5*175-D25</f>
        <v>700</v>
      </c>
      <c r="F25" s="44">
        <f>F5*175-D25-E25</f>
        <v>875</v>
      </c>
      <c r="G25" s="44"/>
      <c r="H25" s="51" t="s">
        <v>169</v>
      </c>
    </row>
    <row r="26" spans="1:9" ht="15.6" x14ac:dyDescent="0.25">
      <c r="A26" s="51" t="s">
        <v>170</v>
      </c>
      <c r="B26" s="42" t="s">
        <v>171</v>
      </c>
      <c r="C26" s="43">
        <v>20000</v>
      </c>
      <c r="D26" s="44">
        <v>10000</v>
      </c>
      <c r="E26" s="44">
        <v>10000</v>
      </c>
      <c r="F26" s="44"/>
      <c r="G26" s="44"/>
      <c r="H26" s="51" t="s">
        <v>172</v>
      </c>
    </row>
    <row r="27" spans="1:9" ht="15.6" x14ac:dyDescent="0.25">
      <c r="A27" s="51" t="s">
        <v>173</v>
      </c>
      <c r="B27" s="42" t="s">
        <v>174</v>
      </c>
      <c r="C27" s="43"/>
      <c r="D27" s="44"/>
      <c r="E27" s="44">
        <f>D30*10%</f>
        <v>60000</v>
      </c>
      <c r="F27" s="44">
        <f>(D30+E30)*10%</f>
        <v>130000</v>
      </c>
      <c r="G27" s="44">
        <f>(D30+E30+F30)*10%</f>
        <v>170000</v>
      </c>
      <c r="H27" s="51" t="s">
        <v>175</v>
      </c>
    </row>
    <row r="28" spans="1:9" ht="16.2" x14ac:dyDescent="0.25">
      <c r="A28" s="49"/>
      <c r="B28" s="49" t="s">
        <v>176</v>
      </c>
      <c r="C28" s="50">
        <f>SUM(C29:C30)</f>
        <v>1719200</v>
      </c>
      <c r="D28" s="50">
        <f>SUM(D29:D30)</f>
        <v>608400</v>
      </c>
      <c r="E28" s="50">
        <f>SUM(E29:E30)</f>
        <v>704800</v>
      </c>
      <c r="F28" s="50">
        <f t="shared" ref="F28:G28" si="2">SUM(F29:F30)</f>
        <v>406000</v>
      </c>
      <c r="G28" s="50">
        <f t="shared" si="2"/>
        <v>0</v>
      </c>
      <c r="H28" s="50"/>
    </row>
    <row r="29" spans="1:9" ht="26.4" x14ac:dyDescent="0.25">
      <c r="A29" s="51" t="s">
        <v>177</v>
      </c>
      <c r="B29" s="42" t="s">
        <v>178</v>
      </c>
      <c r="C29" s="43">
        <f>16*1200</f>
        <v>19200</v>
      </c>
      <c r="D29" s="44">
        <f>D5*1200</f>
        <v>8400</v>
      </c>
      <c r="E29" s="44">
        <f>E5*1200-D29</f>
        <v>4800</v>
      </c>
      <c r="F29" s="44">
        <f>F5*1200-D29-E29</f>
        <v>6000</v>
      </c>
      <c r="G29" s="44"/>
      <c r="H29" s="51" t="s">
        <v>179</v>
      </c>
    </row>
    <row r="30" spans="1:9" ht="15.6" x14ac:dyDescent="0.25">
      <c r="A30" s="51" t="s">
        <v>180</v>
      </c>
      <c r="B30" s="42" t="s">
        <v>181</v>
      </c>
      <c r="C30" s="43">
        <v>1700000</v>
      </c>
      <c r="D30" s="44">
        <v>600000</v>
      </c>
      <c r="E30" s="44">
        <v>700000</v>
      </c>
      <c r="F30" s="44">
        <v>400000</v>
      </c>
      <c r="G30" s="44"/>
      <c r="H30" s="51" t="s">
        <v>172</v>
      </c>
    </row>
  </sheetData>
  <mergeCells count="10">
    <mergeCell ref="H3:H4"/>
    <mergeCell ref="A5:B5"/>
    <mergeCell ref="A6:B6"/>
    <mergeCell ref="A7:B7"/>
    <mergeCell ref="A3:B4"/>
    <mergeCell ref="C3:C4"/>
    <mergeCell ref="D3:D4"/>
    <mergeCell ref="E3:E4"/>
    <mergeCell ref="F3:F4"/>
    <mergeCell ref="G3:G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A57DE-DB46-4761-82B6-31676C6836F7}">
  <dimension ref="A1:AG22"/>
  <sheetViews>
    <sheetView zoomScale="80" zoomScaleNormal="80" workbookViewId="0"/>
  </sheetViews>
  <sheetFormatPr defaultColWidth="8.77734375" defaultRowHeight="13.2" x14ac:dyDescent="0.25"/>
  <cols>
    <col min="1" max="1" width="7.21875" style="52" customWidth="1"/>
    <col min="2" max="2" width="30.5546875" style="52" customWidth="1"/>
    <col min="3" max="3" width="13.44140625" style="52" customWidth="1"/>
    <col min="4" max="4" width="14.21875" style="52" customWidth="1"/>
    <col min="5" max="6" width="13.21875" style="52" customWidth="1"/>
    <col min="7" max="7" width="13.44140625" style="52" customWidth="1"/>
    <col min="8" max="8" width="8.77734375" style="52"/>
    <col min="9" max="9" width="9.77734375" style="52" customWidth="1"/>
    <col min="10" max="10" width="29.44140625" style="52" customWidth="1"/>
    <col min="11" max="11" width="14.77734375" style="52" customWidth="1"/>
    <col min="12" max="12" width="14.5546875" style="52" customWidth="1"/>
    <col min="13" max="13" width="14" style="52" customWidth="1"/>
    <col min="14" max="14" width="12.21875" style="52" customWidth="1"/>
    <col min="15" max="15" width="13.21875" style="52" customWidth="1"/>
    <col min="16" max="16" width="8.77734375" style="52"/>
    <col min="17" max="17" width="12" style="52" customWidth="1"/>
    <col min="18" max="18" width="29.77734375" style="52" customWidth="1"/>
    <col min="19" max="20" width="11.77734375" style="52" customWidth="1"/>
    <col min="21" max="21" width="11.5546875" style="52" customWidth="1"/>
    <col min="22" max="22" width="10.21875" style="52" customWidth="1"/>
    <col min="23" max="23" width="12.21875" style="52" customWidth="1"/>
    <col min="24" max="24" width="8.77734375" style="52"/>
    <col min="25" max="25" width="11.44140625" style="52" customWidth="1"/>
    <col min="26" max="26" width="26.21875" style="52" customWidth="1"/>
    <col min="27" max="27" width="13.21875" style="52" customWidth="1"/>
    <col min="28" max="28" width="15.77734375" style="52" customWidth="1"/>
    <col min="29" max="29" width="11.5546875" style="52" customWidth="1"/>
    <col min="30" max="30" width="12.21875" style="52" customWidth="1"/>
    <col min="31" max="31" width="12.77734375" style="52" customWidth="1"/>
    <col min="32" max="32" width="8.77734375" style="52"/>
    <col min="33" max="33" width="15" style="52" customWidth="1"/>
    <col min="34" max="16384" width="8.77734375" style="52"/>
  </cols>
  <sheetData>
    <row r="1" spans="1:33" ht="13.8" x14ac:dyDescent="0.25">
      <c r="A1" s="32" t="s">
        <v>182</v>
      </c>
    </row>
    <row r="3" spans="1:33" x14ac:dyDescent="0.25">
      <c r="A3" s="81" t="s">
        <v>238</v>
      </c>
    </row>
    <row r="5" spans="1:33" ht="39.6" x14ac:dyDescent="0.25">
      <c r="A5" s="181" t="s">
        <v>183</v>
      </c>
      <c r="B5" s="182"/>
      <c r="C5" s="182"/>
      <c r="D5" s="182"/>
      <c r="E5" s="183"/>
      <c r="F5" s="53" t="s">
        <v>130</v>
      </c>
      <c r="G5" s="33"/>
      <c r="I5" s="181" t="s">
        <v>183</v>
      </c>
      <c r="J5" s="182"/>
      <c r="K5" s="182"/>
      <c r="L5" s="182"/>
      <c r="M5" s="183"/>
      <c r="N5" s="53" t="s">
        <v>130</v>
      </c>
      <c r="O5" s="33"/>
      <c r="Q5" s="181" t="s">
        <v>184</v>
      </c>
      <c r="R5" s="182"/>
      <c r="S5" s="182"/>
      <c r="T5" s="182"/>
      <c r="U5" s="183"/>
      <c r="V5" s="53" t="s">
        <v>130</v>
      </c>
      <c r="W5" s="33"/>
      <c r="Y5" s="181" t="s">
        <v>184</v>
      </c>
      <c r="Z5" s="182"/>
      <c r="AA5" s="182"/>
      <c r="AB5" s="182"/>
      <c r="AC5" s="183"/>
      <c r="AD5" s="53" t="s">
        <v>130</v>
      </c>
      <c r="AE5" s="33"/>
      <c r="AG5" s="53" t="s">
        <v>185</v>
      </c>
    </row>
    <row r="6" spans="1:33" ht="13.05" customHeight="1" x14ac:dyDescent="0.25">
      <c r="A6" s="184" t="s">
        <v>186</v>
      </c>
      <c r="B6" s="185"/>
      <c r="C6" s="185"/>
      <c r="D6" s="185"/>
      <c r="E6" s="186"/>
      <c r="F6" s="54">
        <v>13</v>
      </c>
      <c r="G6" s="33"/>
      <c r="I6" s="184" t="s">
        <v>187</v>
      </c>
      <c r="J6" s="185"/>
      <c r="K6" s="185"/>
      <c r="L6" s="185"/>
      <c r="M6" s="186"/>
      <c r="N6" s="54">
        <v>1</v>
      </c>
      <c r="O6" s="33"/>
      <c r="Q6" s="184" t="s">
        <v>188</v>
      </c>
      <c r="R6" s="185"/>
      <c r="S6" s="185"/>
      <c r="T6" s="185"/>
      <c r="U6" s="186"/>
      <c r="V6" s="54">
        <v>1</v>
      </c>
      <c r="W6" s="33"/>
      <c r="Y6" s="184" t="s">
        <v>235</v>
      </c>
      <c r="Z6" s="185"/>
      <c r="AA6" s="185"/>
      <c r="AB6" s="185"/>
      <c r="AC6" s="186"/>
      <c r="AD6" s="54">
        <v>1</v>
      </c>
      <c r="AE6" s="33"/>
      <c r="AG6" s="54">
        <f>F6+N6+V6+AD6</f>
        <v>16</v>
      </c>
    </row>
    <row r="7" spans="1:33" x14ac:dyDescent="0.25">
      <c r="A7" s="55"/>
      <c r="B7" s="55"/>
      <c r="C7" s="55"/>
      <c r="D7" s="55"/>
      <c r="E7" s="55"/>
      <c r="F7" s="55"/>
      <c r="G7" s="33"/>
      <c r="I7" s="55"/>
      <c r="J7" s="55"/>
      <c r="K7" s="55"/>
      <c r="L7" s="55"/>
      <c r="M7" s="55"/>
      <c r="N7" s="55"/>
      <c r="O7" s="33"/>
      <c r="Q7" s="55"/>
      <c r="R7" s="55"/>
      <c r="S7" s="55"/>
      <c r="T7" s="55"/>
      <c r="U7" s="55"/>
      <c r="V7" s="55"/>
      <c r="W7" s="33"/>
      <c r="Y7" s="55"/>
      <c r="Z7" s="55"/>
      <c r="AA7" s="55"/>
      <c r="AB7" s="55"/>
      <c r="AC7" s="55"/>
      <c r="AD7" s="55"/>
      <c r="AE7" s="33"/>
    </row>
    <row r="8" spans="1:33" x14ac:dyDescent="0.25">
      <c r="A8" s="55"/>
      <c r="B8" s="55"/>
      <c r="C8" s="56" t="s">
        <v>189</v>
      </c>
      <c r="D8" s="57">
        <v>1</v>
      </c>
      <c r="E8" s="55"/>
      <c r="F8" s="55"/>
      <c r="G8" s="33"/>
      <c r="I8" s="55"/>
      <c r="J8" s="55"/>
      <c r="K8" s="56" t="s">
        <v>189</v>
      </c>
      <c r="L8" s="57">
        <v>1</v>
      </c>
      <c r="M8" s="55"/>
      <c r="N8" s="55"/>
      <c r="O8" s="33"/>
      <c r="Q8" s="55"/>
      <c r="R8" s="55"/>
      <c r="S8" s="56" t="s">
        <v>189</v>
      </c>
      <c r="T8" s="57">
        <v>1.5</v>
      </c>
      <c r="U8" s="55"/>
      <c r="V8" s="55"/>
      <c r="W8" s="33"/>
      <c r="Y8" s="55"/>
      <c r="Z8" s="55"/>
      <c r="AA8" s="56" t="s">
        <v>189</v>
      </c>
      <c r="AB8" s="57">
        <v>1.5</v>
      </c>
      <c r="AC8" s="55"/>
      <c r="AD8" s="55"/>
      <c r="AE8" s="33"/>
    </row>
    <row r="9" spans="1:33" ht="66" x14ac:dyDescent="0.25">
      <c r="A9" s="58" t="s">
        <v>190</v>
      </c>
      <c r="B9" s="59" t="s">
        <v>191</v>
      </c>
      <c r="C9" s="59" t="s">
        <v>192</v>
      </c>
      <c r="D9" s="59" t="s">
        <v>193</v>
      </c>
      <c r="E9" s="59" t="s">
        <v>194</v>
      </c>
      <c r="F9" s="53" t="s">
        <v>195</v>
      </c>
      <c r="G9" s="33"/>
      <c r="I9" s="58" t="s">
        <v>190</v>
      </c>
      <c r="J9" s="59" t="s">
        <v>191</v>
      </c>
      <c r="K9" s="59" t="s">
        <v>192</v>
      </c>
      <c r="L9" s="59" t="s">
        <v>193</v>
      </c>
      <c r="M9" s="59" t="s">
        <v>194</v>
      </c>
      <c r="N9" s="53" t="s">
        <v>196</v>
      </c>
      <c r="O9" s="33"/>
      <c r="Q9" s="58" t="s">
        <v>190</v>
      </c>
      <c r="R9" s="59" t="s">
        <v>191</v>
      </c>
      <c r="S9" s="59" t="s">
        <v>192</v>
      </c>
      <c r="T9" s="59" t="s">
        <v>193</v>
      </c>
      <c r="U9" s="59" t="s">
        <v>194</v>
      </c>
      <c r="V9" s="53" t="s">
        <v>196</v>
      </c>
      <c r="W9" s="33"/>
      <c r="Y9" s="58" t="s">
        <v>190</v>
      </c>
      <c r="Z9" s="59" t="s">
        <v>191</v>
      </c>
      <c r="AA9" s="59" t="s">
        <v>192</v>
      </c>
      <c r="AB9" s="59" t="s">
        <v>193</v>
      </c>
      <c r="AC9" s="59" t="s">
        <v>194</v>
      </c>
      <c r="AD9" s="53" t="s">
        <v>196</v>
      </c>
      <c r="AE9" s="33"/>
      <c r="AG9" s="53" t="s">
        <v>197</v>
      </c>
    </row>
    <row r="10" spans="1:33" x14ac:dyDescent="0.25">
      <c r="A10" s="60" t="s">
        <v>198</v>
      </c>
      <c r="B10" s="61" t="s">
        <v>199</v>
      </c>
      <c r="C10" s="62">
        <f>C11+C16</f>
        <v>3399.4100000000003</v>
      </c>
      <c r="D10" s="62">
        <f>D11+D16</f>
        <v>3399.4100000000003</v>
      </c>
      <c r="E10" s="63">
        <f>E11+E16</f>
        <v>40792.67</v>
      </c>
      <c r="F10" s="63">
        <f>F11+F16</f>
        <v>520469</v>
      </c>
      <c r="G10" s="64" t="s">
        <v>200</v>
      </c>
      <c r="I10" s="60" t="s">
        <v>198</v>
      </c>
      <c r="J10" s="61" t="s">
        <v>199</v>
      </c>
      <c r="K10" s="62">
        <f>K11+K16</f>
        <v>5230.3899999999994</v>
      </c>
      <c r="L10" s="62">
        <f>L11+L16</f>
        <v>5230.3899999999994</v>
      </c>
      <c r="M10" s="63">
        <f>M11+M16</f>
        <v>62764.5</v>
      </c>
      <c r="N10" s="63">
        <f>N11+N16</f>
        <v>62007</v>
      </c>
      <c r="O10" s="64" t="s">
        <v>200</v>
      </c>
      <c r="Q10" s="60" t="s">
        <v>198</v>
      </c>
      <c r="R10" s="61" t="s">
        <v>199</v>
      </c>
      <c r="S10" s="62">
        <f>S11+S15</f>
        <v>4151.76</v>
      </c>
      <c r="T10" s="62">
        <f>T11+T15</f>
        <v>6194.87</v>
      </c>
      <c r="U10" s="63">
        <f>U11+U15</f>
        <v>74338.16</v>
      </c>
      <c r="V10" s="63">
        <f>V11+V15</f>
        <v>73581</v>
      </c>
      <c r="W10" s="64" t="s">
        <v>200</v>
      </c>
      <c r="Y10" s="60" t="s">
        <v>198</v>
      </c>
      <c r="Z10" s="61" t="s">
        <v>199</v>
      </c>
      <c r="AA10" s="62">
        <f>AA11+AA15</f>
        <v>4151.76</v>
      </c>
      <c r="AB10" s="62">
        <f>AB11+AB15</f>
        <v>6194.87</v>
      </c>
      <c r="AC10" s="63">
        <f>AC11+AC15</f>
        <v>74338.16</v>
      </c>
      <c r="AD10" s="63">
        <f>AD11+AD15</f>
        <v>73581</v>
      </c>
      <c r="AE10" s="64" t="s">
        <v>200</v>
      </c>
      <c r="AG10" s="63">
        <f>F10+N10+V10+AD10</f>
        <v>729638</v>
      </c>
    </row>
    <row r="11" spans="1:33" x14ac:dyDescent="0.25">
      <c r="A11" s="65" t="s">
        <v>201</v>
      </c>
      <c r="B11" s="66" t="s">
        <v>202</v>
      </c>
      <c r="C11" s="67">
        <f>SUM(C12:C15)</f>
        <v>2591.6000000000004</v>
      </c>
      <c r="D11" s="67">
        <f>SUM(D12:D15)</f>
        <v>2591.6000000000004</v>
      </c>
      <c r="E11" s="68">
        <f>SUM(E12:E15)</f>
        <v>31099.199999999997</v>
      </c>
      <c r="F11" s="68">
        <f>SUM(F12:F15)</f>
        <v>404290</v>
      </c>
      <c r="G11" s="69">
        <f>F11</f>
        <v>404290</v>
      </c>
      <c r="I11" s="65" t="s">
        <v>201</v>
      </c>
      <c r="J11" s="66" t="s">
        <v>202</v>
      </c>
      <c r="K11" s="67">
        <f>SUM(K12:K15)</f>
        <v>4014.3999999999996</v>
      </c>
      <c r="L11" s="67">
        <f>SUM(L12:L15)</f>
        <v>4014.3999999999996</v>
      </c>
      <c r="M11" s="68">
        <f>SUM(M12:M15)</f>
        <v>48172.800000000003</v>
      </c>
      <c r="N11" s="68">
        <f>SUM(N12:N15)</f>
        <v>48172</v>
      </c>
      <c r="O11" s="69">
        <f>N11</f>
        <v>48172</v>
      </c>
      <c r="Q11" s="65" t="s">
        <v>201</v>
      </c>
      <c r="R11" s="66" t="s">
        <v>202</v>
      </c>
      <c r="S11" s="67">
        <f>SUM(S12:S14)</f>
        <v>3174</v>
      </c>
      <c r="T11" s="67">
        <f>SUM(T12:T14)</f>
        <v>4761</v>
      </c>
      <c r="U11" s="68">
        <f>SUM(U12:U14)</f>
        <v>57132</v>
      </c>
      <c r="V11" s="68">
        <f>SUM(V12:V14)</f>
        <v>57132</v>
      </c>
      <c r="W11" s="69">
        <f>V11</f>
        <v>57132</v>
      </c>
      <c r="Y11" s="65" t="s">
        <v>201</v>
      </c>
      <c r="Z11" s="66" t="s">
        <v>202</v>
      </c>
      <c r="AA11" s="67">
        <f>SUM(AA12:AA14)</f>
        <v>3174</v>
      </c>
      <c r="AB11" s="67">
        <f t="shared" ref="AB11:AD11" si="0">SUM(AB12:AB14)</f>
        <v>4761</v>
      </c>
      <c r="AC11" s="67">
        <f t="shared" si="0"/>
        <v>57132</v>
      </c>
      <c r="AD11" s="67">
        <f t="shared" si="0"/>
        <v>57132</v>
      </c>
      <c r="AE11" s="69">
        <f>AD11</f>
        <v>57132</v>
      </c>
      <c r="AG11" s="70">
        <f>AE11+W11+O11+G11</f>
        <v>566726</v>
      </c>
    </row>
    <row r="12" spans="1:33" ht="26.4" x14ac:dyDescent="0.25">
      <c r="A12" s="71" t="s">
        <v>203</v>
      </c>
      <c r="B12" s="72" t="s">
        <v>204</v>
      </c>
      <c r="C12" s="73">
        <v>2118</v>
      </c>
      <c r="D12" s="73">
        <f>C12*D8</f>
        <v>2118</v>
      </c>
      <c r="E12" s="73">
        <f>ROUND(D12*12,0)</f>
        <v>25416</v>
      </c>
      <c r="F12" s="74">
        <f>ROUND(E12*F6,0)</f>
        <v>330408</v>
      </c>
      <c r="G12" s="35"/>
      <c r="I12" s="71" t="s">
        <v>203</v>
      </c>
      <c r="J12" s="72" t="s">
        <v>204</v>
      </c>
      <c r="K12" s="73">
        <v>3292</v>
      </c>
      <c r="L12" s="73">
        <f>K12*L8</f>
        <v>3292</v>
      </c>
      <c r="M12" s="73">
        <f>ROUND(L12*12,0)</f>
        <v>39504</v>
      </c>
      <c r="N12" s="74">
        <f>ROUND(M12*N6,0)</f>
        <v>39504</v>
      </c>
      <c r="O12" s="35"/>
      <c r="Q12" s="71" t="s">
        <v>205</v>
      </c>
      <c r="R12" s="72" t="s">
        <v>206</v>
      </c>
      <c r="S12" s="73">
        <v>2645</v>
      </c>
      <c r="T12" s="73">
        <f>S12*T8</f>
        <v>3967.5</v>
      </c>
      <c r="U12" s="73">
        <f>ROUND(T12*12,0)</f>
        <v>47610</v>
      </c>
      <c r="V12" s="74">
        <f>ROUND(U12*V6,0)</f>
        <v>47610</v>
      </c>
      <c r="W12" s="35"/>
      <c r="Y12" s="71" t="s">
        <v>205</v>
      </c>
      <c r="Z12" s="72" t="s">
        <v>206</v>
      </c>
      <c r="AA12" s="73">
        <v>2645</v>
      </c>
      <c r="AB12" s="73">
        <f>AA12*AB8</f>
        <v>3967.5</v>
      </c>
      <c r="AC12" s="73">
        <f>ROUND(AB12*12,0)</f>
        <v>47610</v>
      </c>
      <c r="AD12" s="74">
        <f>ROUND(AC12*AD6,0)</f>
        <v>47610</v>
      </c>
      <c r="AE12" s="35"/>
    </row>
    <row r="13" spans="1:33" ht="30.75" customHeight="1" x14ac:dyDescent="0.25">
      <c r="A13" s="71" t="s">
        <v>207</v>
      </c>
      <c r="B13" s="72" t="s">
        <v>208</v>
      </c>
      <c r="C13" s="73">
        <v>50</v>
      </c>
      <c r="D13" s="73">
        <f>C13</f>
        <v>50</v>
      </c>
      <c r="E13" s="73">
        <f>ROUND(D13*12,0)</f>
        <v>600</v>
      </c>
      <c r="F13" s="74">
        <f>ROUND(E13*F6,0)</f>
        <v>7800</v>
      </c>
      <c r="G13" s="35"/>
      <c r="I13" s="71" t="s">
        <v>207</v>
      </c>
      <c r="J13" s="72" t="s">
        <v>208</v>
      </c>
      <c r="K13" s="73">
        <v>64</v>
      </c>
      <c r="L13" s="73">
        <f>K13</f>
        <v>64</v>
      </c>
      <c r="M13" s="73">
        <f>ROUND(L13*12,0)</f>
        <v>768</v>
      </c>
      <c r="N13" s="74">
        <f>ROUND(M13*N6,0)</f>
        <v>768</v>
      </c>
      <c r="O13" s="35"/>
      <c r="Q13" s="71" t="s">
        <v>209</v>
      </c>
      <c r="R13" s="72" t="s">
        <v>210</v>
      </c>
      <c r="S13" s="75">
        <f>ROUND(S12*10%,2)</f>
        <v>264.5</v>
      </c>
      <c r="T13" s="75">
        <f>ROUND(T12*10%,2)</f>
        <v>396.75</v>
      </c>
      <c r="U13" s="75">
        <f t="shared" ref="U13" si="1">ROUND(T13*12,2)</f>
        <v>4761</v>
      </c>
      <c r="V13" s="74">
        <f>ROUND(U13*V6,0)</f>
        <v>4761</v>
      </c>
      <c r="W13" s="35"/>
      <c r="Y13" s="71" t="s">
        <v>209</v>
      </c>
      <c r="Z13" s="72" t="s">
        <v>210</v>
      </c>
      <c r="AA13" s="75">
        <f>ROUND(AA12*10%,2)</f>
        <v>264.5</v>
      </c>
      <c r="AB13" s="75">
        <f>ROUND(AB12*10%,2)</f>
        <v>396.75</v>
      </c>
      <c r="AC13" s="75">
        <f t="shared" ref="AC13" si="2">ROUND(AB13*12,2)</f>
        <v>4761</v>
      </c>
      <c r="AD13" s="74">
        <f>ROUND(AC13*AD6,0)</f>
        <v>4761</v>
      </c>
      <c r="AE13" s="35"/>
    </row>
    <row r="14" spans="1:33" ht="22.5" customHeight="1" x14ac:dyDescent="0.25">
      <c r="A14" s="71" t="s">
        <v>209</v>
      </c>
      <c r="B14" s="72" t="s">
        <v>210</v>
      </c>
      <c r="C14" s="75">
        <f>ROUND(C12*10%,2)</f>
        <v>211.8</v>
      </c>
      <c r="D14" s="75">
        <f>ROUND(D12*10%,2)</f>
        <v>211.8</v>
      </c>
      <c r="E14" s="75">
        <f t="shared" ref="E14" si="3">ROUND(D14*12,2)</f>
        <v>2541.6</v>
      </c>
      <c r="F14" s="74">
        <f>ROUND(E14*F6,0)</f>
        <v>33041</v>
      </c>
      <c r="G14" s="33"/>
      <c r="I14" s="71" t="s">
        <v>209</v>
      </c>
      <c r="J14" s="72" t="s">
        <v>210</v>
      </c>
      <c r="K14" s="75">
        <f>ROUND(K12*10%,2)</f>
        <v>329.2</v>
      </c>
      <c r="L14" s="75">
        <f>ROUND(L12*10%,2)</f>
        <v>329.2</v>
      </c>
      <c r="M14" s="75">
        <f t="shared" ref="M14" si="4">ROUND(L14*12,2)</f>
        <v>3950.4</v>
      </c>
      <c r="N14" s="74">
        <f>ROUND(M14*N6,0)</f>
        <v>3950</v>
      </c>
      <c r="O14" s="33"/>
      <c r="Q14" s="71" t="s">
        <v>211</v>
      </c>
      <c r="R14" s="72" t="s">
        <v>212</v>
      </c>
      <c r="S14" s="75">
        <f>ROUND(S12*10%,2)</f>
        <v>264.5</v>
      </c>
      <c r="T14" s="75">
        <f>ROUND(T12*10%,2)</f>
        <v>396.75</v>
      </c>
      <c r="U14" s="75">
        <f>ROUND(T14*12,2)</f>
        <v>4761</v>
      </c>
      <c r="V14" s="74">
        <f>ROUND(U14*V6,0)</f>
        <v>4761</v>
      </c>
      <c r="W14" s="33"/>
      <c r="Y14" s="71" t="s">
        <v>211</v>
      </c>
      <c r="Z14" s="72" t="s">
        <v>212</v>
      </c>
      <c r="AA14" s="75">
        <f>ROUND(AA12*10%,2)</f>
        <v>264.5</v>
      </c>
      <c r="AB14" s="75">
        <f>ROUND(AB12*10%,2)</f>
        <v>396.75</v>
      </c>
      <c r="AC14" s="75">
        <f>ROUND(AB14*12,2)</f>
        <v>4761</v>
      </c>
      <c r="AD14" s="74">
        <f>ROUND(AC14*AD6,0)</f>
        <v>4761</v>
      </c>
      <c r="AE14" s="33"/>
    </row>
    <row r="15" spans="1:33" ht="37.049999999999997" customHeight="1" x14ac:dyDescent="0.25">
      <c r="A15" s="71" t="s">
        <v>211</v>
      </c>
      <c r="B15" s="72" t="s">
        <v>212</v>
      </c>
      <c r="C15" s="75">
        <f>ROUND(C12*10%,2)</f>
        <v>211.8</v>
      </c>
      <c r="D15" s="75">
        <f>ROUND(D12*10%,2)</f>
        <v>211.8</v>
      </c>
      <c r="E15" s="75">
        <f>ROUND(D15*12,2)</f>
        <v>2541.6</v>
      </c>
      <c r="F15" s="74">
        <f>ROUND(E15*F6,0)</f>
        <v>33041</v>
      </c>
      <c r="G15" s="33"/>
      <c r="I15" s="71" t="s">
        <v>211</v>
      </c>
      <c r="J15" s="72" t="s">
        <v>212</v>
      </c>
      <c r="K15" s="75">
        <f>ROUND(K12*10%,2)</f>
        <v>329.2</v>
      </c>
      <c r="L15" s="75">
        <f>ROUND(L12*10%,2)</f>
        <v>329.2</v>
      </c>
      <c r="M15" s="75">
        <f>ROUND(L15*12,2)</f>
        <v>3950.4</v>
      </c>
      <c r="N15" s="74">
        <f>ROUND(M15*N6,0)</f>
        <v>3950</v>
      </c>
      <c r="O15" s="33"/>
      <c r="Q15" s="65" t="s">
        <v>213</v>
      </c>
      <c r="R15" s="66" t="s">
        <v>214</v>
      </c>
      <c r="S15" s="67">
        <f>SUM(S16:S21)</f>
        <v>977.7600000000001</v>
      </c>
      <c r="T15" s="67">
        <f>SUM(T16:T21)</f>
        <v>1433.8699999999997</v>
      </c>
      <c r="U15" s="68">
        <f>SUM(U16:U21)</f>
        <v>17206.16</v>
      </c>
      <c r="V15" s="68">
        <f>SUM(V16:V21)</f>
        <v>16449</v>
      </c>
      <c r="W15" s="33"/>
      <c r="Y15" s="65" t="s">
        <v>213</v>
      </c>
      <c r="Z15" s="66" t="s">
        <v>214</v>
      </c>
      <c r="AA15" s="67">
        <f>SUM(AA16:AA21)</f>
        <v>977.7600000000001</v>
      </c>
      <c r="AB15" s="67">
        <f>SUM(AB16:AB21)</f>
        <v>1433.8699999999997</v>
      </c>
      <c r="AC15" s="68">
        <f>SUM(AC16:AC21)</f>
        <v>17206.16</v>
      </c>
      <c r="AD15" s="68">
        <f>SUM(AD16:AD21)</f>
        <v>16449</v>
      </c>
      <c r="AE15" s="33"/>
    </row>
    <row r="16" spans="1:33" ht="52.8" x14ac:dyDescent="0.25">
      <c r="A16" s="65" t="s">
        <v>213</v>
      </c>
      <c r="B16" s="66" t="s">
        <v>214</v>
      </c>
      <c r="C16" s="67">
        <f>SUM(C17:C22)</f>
        <v>807.81000000000006</v>
      </c>
      <c r="D16" s="67">
        <f>SUM(D17:D22)</f>
        <v>807.81000000000006</v>
      </c>
      <c r="E16" s="68">
        <f>SUM(E17:E22)</f>
        <v>9693.4699999999993</v>
      </c>
      <c r="F16" s="68">
        <f>SUM(F17:F22)</f>
        <v>116179</v>
      </c>
      <c r="G16" s="64" t="s">
        <v>215</v>
      </c>
      <c r="I16" s="65" t="s">
        <v>213</v>
      </c>
      <c r="J16" s="66" t="s">
        <v>214</v>
      </c>
      <c r="K16" s="67">
        <f>SUM(K17:K22)</f>
        <v>1215.9899999999998</v>
      </c>
      <c r="L16" s="67">
        <f>SUM(L17:L22)</f>
        <v>1215.9899999999998</v>
      </c>
      <c r="M16" s="68">
        <f>SUM(M17:M22)</f>
        <v>14591.7</v>
      </c>
      <c r="N16" s="68">
        <f>SUM(N17:N22)</f>
        <v>13835</v>
      </c>
      <c r="O16" s="64" t="s">
        <v>215</v>
      </c>
      <c r="Q16" s="71" t="s">
        <v>216</v>
      </c>
      <c r="R16" s="72" t="s">
        <v>217</v>
      </c>
      <c r="S16" s="75">
        <f>ROUND((S11+S17+S18)*23.59%,2)</f>
        <v>783.02</v>
      </c>
      <c r="T16" s="75">
        <f>ROUND((T11+T17+T18)*23.59%,2)</f>
        <v>1173</v>
      </c>
      <c r="U16" s="75">
        <f>ROUND((U11+U17+U18)*23.59%,2)</f>
        <v>14075.96</v>
      </c>
      <c r="V16" s="74">
        <f>ROUND((V11+V17+V18)*23.59%,0)</f>
        <v>13996</v>
      </c>
      <c r="W16" s="64" t="s">
        <v>215</v>
      </c>
      <c r="Y16" s="71" t="s">
        <v>216</v>
      </c>
      <c r="Z16" s="72" t="s">
        <v>217</v>
      </c>
      <c r="AA16" s="75">
        <f>ROUND((AA11+AA17+AA18)*23.59%,2)</f>
        <v>783.02</v>
      </c>
      <c r="AB16" s="75">
        <f>ROUND((AB11+AB17+AB18)*23.59%,2)</f>
        <v>1173</v>
      </c>
      <c r="AC16" s="75">
        <f>ROUND((AC11+AC17+AC18)*23.59%,2)</f>
        <v>14075.96</v>
      </c>
      <c r="AD16" s="74">
        <f>ROUND((AD11+AD17+AD18)*23.59%,0)</f>
        <v>13996</v>
      </c>
      <c r="AE16" s="64" t="s">
        <v>215</v>
      </c>
    </row>
    <row r="17" spans="1:33" ht="52.8" x14ac:dyDescent="0.25">
      <c r="A17" s="71" t="s">
        <v>216</v>
      </c>
      <c r="B17" s="72" t="s">
        <v>217</v>
      </c>
      <c r="C17" s="75">
        <f>ROUND((C11+C18+C19)*23.59%,2)</f>
        <v>639.41999999999996</v>
      </c>
      <c r="D17" s="75">
        <f>ROUND((D11+D18+D19)*23.59%,2)</f>
        <v>639.41999999999996</v>
      </c>
      <c r="E17" s="75">
        <f>ROUND((E11+E18+E19)*23.59%,2)</f>
        <v>7673.03</v>
      </c>
      <c r="F17" s="74">
        <f>ROUND((F11+F18+F19)*23.59%,0)</f>
        <v>98717</v>
      </c>
      <c r="G17" s="69">
        <f>F17</f>
        <v>98717</v>
      </c>
      <c r="I17" s="71" t="s">
        <v>216</v>
      </c>
      <c r="J17" s="72" t="s">
        <v>217</v>
      </c>
      <c r="K17" s="75">
        <f>ROUND((K11+K18+K19)*23.59%,2)</f>
        <v>988.9</v>
      </c>
      <c r="L17" s="75">
        <f>ROUND((L11+L18+L19)*23.59%,2)</f>
        <v>988.9</v>
      </c>
      <c r="M17" s="75">
        <f>ROUND((M11+M18+M19)*23.59%,2)</f>
        <v>11866.86</v>
      </c>
      <c r="N17" s="74">
        <f>ROUND((N11+N18+N19)*23.59%,0)</f>
        <v>11787</v>
      </c>
      <c r="O17" s="69">
        <f>N17</f>
        <v>11787</v>
      </c>
      <c r="Q17" s="71" t="s">
        <v>218</v>
      </c>
      <c r="R17" s="72" t="s">
        <v>237</v>
      </c>
      <c r="S17" s="75">
        <f>ROUND(S12*5%,2)-17.78</f>
        <v>114.47</v>
      </c>
      <c r="T17" s="75">
        <f>ROUND(T12*5%,2)-T19</f>
        <v>180.6</v>
      </c>
      <c r="U17" s="75">
        <f>ROUND(T17*12,2)</f>
        <v>2167.1999999999998</v>
      </c>
      <c r="V17" s="74">
        <f>ROUND(U17*V6,0)</f>
        <v>2167</v>
      </c>
      <c r="W17" s="69">
        <f>V16</f>
        <v>13996</v>
      </c>
      <c r="Y17" s="71" t="s">
        <v>218</v>
      </c>
      <c r="Z17" s="72" t="s">
        <v>237</v>
      </c>
      <c r="AA17" s="75">
        <f>ROUND(AA12*5%,2)-17.78</f>
        <v>114.47</v>
      </c>
      <c r="AB17" s="75">
        <f>ROUND(AB12*5%,2)-AB19</f>
        <v>180.6</v>
      </c>
      <c r="AC17" s="75">
        <f>ROUND(AB17*12,2)</f>
        <v>2167.1999999999998</v>
      </c>
      <c r="AD17" s="74">
        <f>ROUND(AC17*AD6,0)</f>
        <v>2167</v>
      </c>
      <c r="AE17" s="69">
        <f>AD16</f>
        <v>13996</v>
      </c>
      <c r="AG17" s="70">
        <f>AE17+W17+O17+G17</f>
        <v>138496</v>
      </c>
    </row>
    <row r="18" spans="1:33" ht="47.55" customHeight="1" x14ac:dyDescent="0.25">
      <c r="A18" s="71" t="s">
        <v>218</v>
      </c>
      <c r="B18" s="72" t="s">
        <v>237</v>
      </c>
      <c r="C18" s="75">
        <f>ROUND(C12*5%,2)-17.78</f>
        <v>88.12</v>
      </c>
      <c r="D18" s="75">
        <f>ROUND(D12*5%,2)-D20</f>
        <v>88.12</v>
      </c>
      <c r="E18" s="75">
        <f>ROUND(D18*12,2)</f>
        <v>1057.44</v>
      </c>
      <c r="F18" s="74">
        <f>ROUND(E18*F6,0)</f>
        <v>13747</v>
      </c>
      <c r="G18" s="33"/>
      <c r="I18" s="71" t="s">
        <v>218</v>
      </c>
      <c r="J18" s="72" t="s">
        <v>237</v>
      </c>
      <c r="K18" s="75">
        <f>ROUND(K12*5%,2)-17.78</f>
        <v>146.82</v>
      </c>
      <c r="L18" s="75">
        <f>ROUND(L12*5%,2)-L20</f>
        <v>146.82</v>
      </c>
      <c r="M18" s="75">
        <f>ROUND(L18*12,2)</f>
        <v>1761.84</v>
      </c>
      <c r="N18" s="74">
        <f>ROUND(M18*N6,0)</f>
        <v>1762</v>
      </c>
      <c r="O18" s="33"/>
      <c r="Q18" s="71" t="s">
        <v>219</v>
      </c>
      <c r="R18" s="72" t="s">
        <v>220</v>
      </c>
      <c r="S18" s="76">
        <f>ROUND((620-250)/12,2)</f>
        <v>30.83</v>
      </c>
      <c r="T18" s="76">
        <f>S18</f>
        <v>30.83</v>
      </c>
      <c r="U18" s="73">
        <f>ROUND(T18*12,0)</f>
        <v>370</v>
      </c>
      <c r="V18" s="74">
        <f>ROUND(U18*V6*9%,0)</f>
        <v>33</v>
      </c>
      <c r="W18" s="33"/>
      <c r="Y18" s="71" t="s">
        <v>219</v>
      </c>
      <c r="Z18" s="72" t="s">
        <v>220</v>
      </c>
      <c r="AA18" s="76">
        <f>ROUND((620-250)/12,2)</f>
        <v>30.83</v>
      </c>
      <c r="AB18" s="76">
        <f>AA18</f>
        <v>30.83</v>
      </c>
      <c r="AC18" s="73">
        <f>ROUND(AB18*12,0)</f>
        <v>370</v>
      </c>
      <c r="AD18" s="74">
        <f>ROUND(AC18*AD6*9%,0)</f>
        <v>33</v>
      </c>
      <c r="AE18" s="33"/>
    </row>
    <row r="19" spans="1:33" ht="79.2" x14ac:dyDescent="0.25">
      <c r="A19" s="71" t="s">
        <v>219</v>
      </c>
      <c r="B19" s="72" t="s">
        <v>220</v>
      </c>
      <c r="C19" s="76">
        <f>ROUND((620-250)/12,2)</f>
        <v>30.83</v>
      </c>
      <c r="D19" s="76">
        <f>C19</f>
        <v>30.83</v>
      </c>
      <c r="E19" s="73">
        <f>ROUND(D19*12,0)</f>
        <v>370</v>
      </c>
      <c r="F19" s="74">
        <f>ROUND(E19*F6*9%,0)</f>
        <v>433</v>
      </c>
      <c r="G19" s="33"/>
      <c r="I19" s="71" t="s">
        <v>219</v>
      </c>
      <c r="J19" s="72" t="s">
        <v>220</v>
      </c>
      <c r="K19" s="76">
        <f>ROUND((620-250)/12,2)</f>
        <v>30.83</v>
      </c>
      <c r="L19" s="76">
        <f>K19</f>
        <v>30.83</v>
      </c>
      <c r="M19" s="73">
        <f>ROUND(L19*12,0)</f>
        <v>370</v>
      </c>
      <c r="N19" s="74">
        <f>ROUND(M19*N6*9%,0)</f>
        <v>33</v>
      </c>
      <c r="O19" s="33"/>
      <c r="Q19" s="71" t="s">
        <v>221</v>
      </c>
      <c r="R19" s="72" t="s">
        <v>236</v>
      </c>
      <c r="S19" s="75">
        <v>17.78</v>
      </c>
      <c r="T19" s="75">
        <v>17.78</v>
      </c>
      <c r="U19" s="73">
        <f>ROUND(T19*12,0)</f>
        <v>213</v>
      </c>
      <c r="V19" s="74">
        <f>ROUND(U19*V6,0)</f>
        <v>213</v>
      </c>
      <c r="W19" s="33"/>
      <c r="Y19" s="71" t="s">
        <v>221</v>
      </c>
      <c r="Z19" s="72" t="s">
        <v>236</v>
      </c>
      <c r="AA19" s="75">
        <v>17.78</v>
      </c>
      <c r="AB19" s="75">
        <v>17.78</v>
      </c>
      <c r="AC19" s="73">
        <f>ROUND(AB19*12,0)</f>
        <v>213</v>
      </c>
      <c r="AD19" s="74">
        <f>ROUND(AC19*AD6,0)</f>
        <v>213</v>
      </c>
      <c r="AE19" s="33"/>
    </row>
    <row r="20" spans="1:33" ht="79.2" x14ac:dyDescent="0.25">
      <c r="A20" s="71" t="s">
        <v>221</v>
      </c>
      <c r="B20" s="72" t="s">
        <v>236</v>
      </c>
      <c r="C20" s="75">
        <v>17.78</v>
      </c>
      <c r="D20" s="75">
        <v>17.78</v>
      </c>
      <c r="E20" s="73">
        <f>ROUND(D20*12,0)</f>
        <v>213</v>
      </c>
      <c r="F20" s="74">
        <f>ROUND(E20*F6,0)</f>
        <v>2769</v>
      </c>
      <c r="G20" s="35"/>
      <c r="I20" s="71" t="s">
        <v>221</v>
      </c>
      <c r="J20" s="72" t="s">
        <v>236</v>
      </c>
      <c r="K20" s="75">
        <v>17.78</v>
      </c>
      <c r="L20" s="75">
        <v>17.78</v>
      </c>
      <c r="M20" s="73">
        <f>ROUND(L20*12,0)</f>
        <v>213</v>
      </c>
      <c r="N20" s="74">
        <f>ROUND(M20*N6,0)</f>
        <v>213</v>
      </c>
      <c r="O20" s="35"/>
      <c r="Q20" s="71" t="s">
        <v>222</v>
      </c>
      <c r="R20" s="72" t="s">
        <v>223</v>
      </c>
      <c r="S20" s="77">
        <f>ROUND((620-370)/12,2)</f>
        <v>20.83</v>
      </c>
      <c r="T20" s="77">
        <f>S20</f>
        <v>20.83</v>
      </c>
      <c r="U20" s="73">
        <f>ROUND(T20*12,0)</f>
        <v>250</v>
      </c>
      <c r="V20" s="74">
        <f>ROUND(U20*V6*9%,0)</f>
        <v>23</v>
      </c>
      <c r="W20" s="35"/>
      <c r="Y20" s="71" t="s">
        <v>222</v>
      </c>
      <c r="Z20" s="72" t="s">
        <v>223</v>
      </c>
      <c r="AA20" s="77">
        <f>ROUND((620-370)/12,2)</f>
        <v>20.83</v>
      </c>
      <c r="AB20" s="77">
        <f>AA20</f>
        <v>20.83</v>
      </c>
      <c r="AC20" s="73">
        <f>ROUND(AB20*12,0)</f>
        <v>250</v>
      </c>
      <c r="AD20" s="74">
        <f>ROUND(AC20*AD6*9%,0)</f>
        <v>23</v>
      </c>
      <c r="AE20" s="35"/>
    </row>
    <row r="21" spans="1:33" ht="79.2" x14ac:dyDescent="0.25">
      <c r="A21" s="71" t="s">
        <v>222</v>
      </c>
      <c r="B21" s="72" t="s">
        <v>223</v>
      </c>
      <c r="C21" s="77">
        <f>ROUND((620-370)/12,2)</f>
        <v>20.83</v>
      </c>
      <c r="D21" s="77">
        <f>C21</f>
        <v>20.83</v>
      </c>
      <c r="E21" s="73">
        <f>ROUND(D21*12,0)</f>
        <v>250</v>
      </c>
      <c r="F21" s="74">
        <f>ROUND(E21*F6*9%,0)</f>
        <v>293</v>
      </c>
      <c r="G21" s="64"/>
      <c r="I21" s="71" t="s">
        <v>222</v>
      </c>
      <c r="J21" s="72" t="s">
        <v>223</v>
      </c>
      <c r="K21" s="77">
        <f>ROUND((620-370)/12,2)</f>
        <v>20.83</v>
      </c>
      <c r="L21" s="77">
        <f>K21</f>
        <v>20.83</v>
      </c>
      <c r="M21" s="73">
        <f>ROUND(L21*12,0)</f>
        <v>250</v>
      </c>
      <c r="N21" s="74">
        <f>ROUND(M21*N6*9%,0)</f>
        <v>23</v>
      </c>
      <c r="O21" s="64"/>
      <c r="Q21" s="71" t="s">
        <v>224</v>
      </c>
      <c r="R21" s="72" t="s">
        <v>225</v>
      </c>
      <c r="S21" s="78">
        <f>ROUND(10.83,2)</f>
        <v>10.83</v>
      </c>
      <c r="T21" s="78">
        <f>ROUND(10.83,2)</f>
        <v>10.83</v>
      </c>
      <c r="U21" s="79">
        <f>ROUND(T21*12,0)</f>
        <v>130</v>
      </c>
      <c r="V21" s="74">
        <f>ROUND(U21*V6*13%,0)</f>
        <v>17</v>
      </c>
      <c r="W21" s="69">
        <f>V17+V18+V19+V20+V21</f>
        <v>2453</v>
      </c>
      <c r="Y21" s="71" t="s">
        <v>224</v>
      </c>
      <c r="Z21" s="72" t="s">
        <v>225</v>
      </c>
      <c r="AA21" s="78">
        <f>ROUND(10.83,2)</f>
        <v>10.83</v>
      </c>
      <c r="AB21" s="78">
        <f>ROUND(10.83,2)</f>
        <v>10.83</v>
      </c>
      <c r="AC21" s="79">
        <f>ROUND(AB21*12,0)</f>
        <v>130</v>
      </c>
      <c r="AD21" s="74">
        <f>ROUND(AC21*AD6*13%,0)</f>
        <v>17</v>
      </c>
      <c r="AE21" s="69">
        <f>AD17+AD18+AD19+AD20+AD21</f>
        <v>2453</v>
      </c>
    </row>
    <row r="22" spans="1:33" ht="66" x14ac:dyDescent="0.25">
      <c r="A22" s="71" t="s">
        <v>224</v>
      </c>
      <c r="B22" s="72" t="s">
        <v>225</v>
      </c>
      <c r="C22" s="78">
        <f>ROUND(10.83,2)</f>
        <v>10.83</v>
      </c>
      <c r="D22" s="78">
        <f>ROUND(10.83,2)</f>
        <v>10.83</v>
      </c>
      <c r="E22" s="79">
        <f>ROUND(D22*12,0)</f>
        <v>130</v>
      </c>
      <c r="F22" s="74">
        <f>ROUND(E22*F6*13%,0)</f>
        <v>220</v>
      </c>
      <c r="G22" s="69">
        <f>F18+F19+F20+F21+F22</f>
        <v>17462</v>
      </c>
      <c r="I22" s="71" t="s">
        <v>224</v>
      </c>
      <c r="J22" s="72" t="s">
        <v>225</v>
      </c>
      <c r="K22" s="78">
        <f>ROUND(10.83,2)</f>
        <v>10.83</v>
      </c>
      <c r="L22" s="78">
        <f>ROUND(10.83,2)</f>
        <v>10.83</v>
      </c>
      <c r="M22" s="79">
        <f>ROUND(L22*12,0)</f>
        <v>130</v>
      </c>
      <c r="N22" s="74">
        <f>ROUND(M22*N6*13%,0)</f>
        <v>17</v>
      </c>
      <c r="O22" s="69">
        <f>N18+N19+N20+N21+N22</f>
        <v>2048</v>
      </c>
      <c r="AG22" s="70">
        <f>AE21+W21+O22+G22</f>
        <v>24416</v>
      </c>
    </row>
  </sheetData>
  <mergeCells count="8">
    <mergeCell ref="A5:E5"/>
    <mergeCell ref="I5:M5"/>
    <mergeCell ref="Q5:U5"/>
    <mergeCell ref="Y5:AC5"/>
    <mergeCell ref="A6:E6"/>
    <mergeCell ref="I6:M6"/>
    <mergeCell ref="Q6:U6"/>
    <mergeCell ref="Y6:AC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0"/>
  <sheetViews>
    <sheetView topLeftCell="A4" workbookViewId="0">
      <selection activeCell="A12" sqref="A12:A41"/>
    </sheetView>
  </sheetViews>
  <sheetFormatPr defaultRowHeight="13.2" x14ac:dyDescent="0.25"/>
  <sheetData>
    <row r="1" spans="1:1" x14ac:dyDescent="0.25">
      <c r="A1" s="2" t="s">
        <v>31</v>
      </c>
    </row>
    <row r="2" spans="1:1" x14ac:dyDescent="0.25">
      <c r="A2" s="3" t="s">
        <v>67</v>
      </c>
    </row>
    <row r="3" spans="1:1" x14ac:dyDescent="0.25">
      <c r="A3" s="3" t="s">
        <v>68</v>
      </c>
    </row>
    <row r="4" spans="1:1" x14ac:dyDescent="0.25">
      <c r="A4" s="3" t="s">
        <v>69</v>
      </c>
    </row>
    <row r="5" spans="1:1" x14ac:dyDescent="0.25">
      <c r="A5" s="2" t="s">
        <v>63</v>
      </c>
    </row>
    <row r="6" spans="1:1" x14ac:dyDescent="0.25">
      <c r="A6" s="2"/>
    </row>
    <row r="7" spans="1:1" x14ac:dyDescent="0.25">
      <c r="A7" s="2" t="s">
        <v>32</v>
      </c>
    </row>
    <row r="8" spans="1:1" x14ac:dyDescent="0.25">
      <c r="A8" s="2" t="s">
        <v>33</v>
      </c>
    </row>
    <row r="9" spans="1:1" x14ac:dyDescent="0.25">
      <c r="A9" s="2" t="s">
        <v>34</v>
      </c>
    </row>
    <row r="10" spans="1:1" x14ac:dyDescent="0.25">
      <c r="A10" s="2" t="s">
        <v>65</v>
      </c>
    </row>
    <row r="12" spans="1:1" x14ac:dyDescent="0.25">
      <c r="A12" s="2" t="s">
        <v>64</v>
      </c>
    </row>
    <row r="13" spans="1:1" x14ac:dyDescent="0.25">
      <c r="A13" s="2" t="s">
        <v>9</v>
      </c>
    </row>
    <row r="14" spans="1:1" x14ac:dyDescent="0.25">
      <c r="A14" s="2" t="s">
        <v>35</v>
      </c>
    </row>
    <row r="15" spans="1:1" x14ac:dyDescent="0.25">
      <c r="A15" s="2" t="s">
        <v>36</v>
      </c>
    </row>
    <row r="16" spans="1:1" x14ac:dyDescent="0.25">
      <c r="A16" s="2" t="s">
        <v>37</v>
      </c>
    </row>
    <row r="17" spans="1:1" x14ac:dyDescent="0.25">
      <c r="A17" s="2" t="s">
        <v>38</v>
      </c>
    </row>
    <row r="18" spans="1:1" x14ac:dyDescent="0.25">
      <c r="A18" s="2" t="s">
        <v>39</v>
      </c>
    </row>
    <row r="19" spans="1:1" x14ac:dyDescent="0.25">
      <c r="A19" s="2" t="s">
        <v>40</v>
      </c>
    </row>
    <row r="20" spans="1:1" x14ac:dyDescent="0.25">
      <c r="A20" s="2" t="s">
        <v>41</v>
      </c>
    </row>
    <row r="21" spans="1:1" x14ac:dyDescent="0.25">
      <c r="A21" s="2" t="s">
        <v>42</v>
      </c>
    </row>
    <row r="22" spans="1:1" x14ac:dyDescent="0.25">
      <c r="A22" s="2" t="s">
        <v>43</v>
      </c>
    </row>
    <row r="23" spans="1:1" x14ac:dyDescent="0.25">
      <c r="A23" s="2" t="s">
        <v>44</v>
      </c>
    </row>
    <row r="24" spans="1:1" x14ac:dyDescent="0.25">
      <c r="A24" s="2" t="s">
        <v>45</v>
      </c>
    </row>
    <row r="25" spans="1:1" x14ac:dyDescent="0.25">
      <c r="A25" s="2" t="s">
        <v>46</v>
      </c>
    </row>
    <row r="26" spans="1:1" x14ac:dyDescent="0.25">
      <c r="A26" s="2" t="s">
        <v>47</v>
      </c>
    </row>
    <row r="27" spans="1:1" x14ac:dyDescent="0.25">
      <c r="A27" s="2" t="s">
        <v>48</v>
      </c>
    </row>
    <row r="28" spans="1:1" x14ac:dyDescent="0.25">
      <c r="A28" s="2" t="s">
        <v>49</v>
      </c>
    </row>
    <row r="29" spans="1:1" x14ac:dyDescent="0.25">
      <c r="A29" s="2" t="s">
        <v>50</v>
      </c>
    </row>
    <row r="30" spans="1:1" x14ac:dyDescent="0.25">
      <c r="A30" s="2" t="s">
        <v>51</v>
      </c>
    </row>
    <row r="31" spans="1:1" x14ac:dyDescent="0.25">
      <c r="A31" s="2" t="s">
        <v>52</v>
      </c>
    </row>
    <row r="32" spans="1:1" x14ac:dyDescent="0.25">
      <c r="A32" s="2" t="s">
        <v>53</v>
      </c>
    </row>
    <row r="33" spans="1:1" x14ac:dyDescent="0.25">
      <c r="A33" s="2" t="s">
        <v>54</v>
      </c>
    </row>
    <row r="34" spans="1:1" x14ac:dyDescent="0.25">
      <c r="A34" s="2" t="s">
        <v>55</v>
      </c>
    </row>
    <row r="35" spans="1:1" x14ac:dyDescent="0.25">
      <c r="A35" s="2" t="s">
        <v>56</v>
      </c>
    </row>
    <row r="36" spans="1:1" x14ac:dyDescent="0.25">
      <c r="A36" s="2" t="s">
        <v>57</v>
      </c>
    </row>
    <row r="37" spans="1:1" x14ac:dyDescent="0.25">
      <c r="A37" s="2" t="s">
        <v>58</v>
      </c>
    </row>
    <row r="38" spans="1:1" x14ac:dyDescent="0.25">
      <c r="A38" s="2" t="s">
        <v>59</v>
      </c>
    </row>
    <row r="39" spans="1:1" x14ac:dyDescent="0.25">
      <c r="A39" s="2" t="s">
        <v>60</v>
      </c>
    </row>
    <row r="40" spans="1:1" x14ac:dyDescent="0.25">
      <c r="A40" s="2" t="s">
        <v>61</v>
      </c>
    </row>
    <row r="41" spans="1:1" x14ac:dyDescent="0.25">
      <c r="A41" s="2" t="s">
        <v>62</v>
      </c>
    </row>
    <row r="44" spans="1:1" x14ac:dyDescent="0.25">
      <c r="A44" s="3" t="s">
        <v>82</v>
      </c>
    </row>
    <row r="45" spans="1:1" x14ac:dyDescent="0.25">
      <c r="A45" s="3" t="s">
        <v>83</v>
      </c>
    </row>
    <row r="46" spans="1:1" x14ac:dyDescent="0.25">
      <c r="A46" s="3" t="s">
        <v>84</v>
      </c>
    </row>
    <row r="47" spans="1:1" x14ac:dyDescent="0.25">
      <c r="A47" s="3" t="s">
        <v>85</v>
      </c>
    </row>
    <row r="49" spans="1:1" x14ac:dyDescent="0.25">
      <c r="A49" s="3" t="s">
        <v>86</v>
      </c>
    </row>
    <row r="50" spans="1:1" x14ac:dyDescent="0.25">
      <c r="A50" s="3" t="s">
        <v>87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52C48976B619C498B789A3AB076037C" ma:contentTypeVersion="2" ma:contentTypeDescription="Izveidot jaunu dokumentu." ma:contentTypeScope="" ma:versionID="1fcd77e532a90d6eef57c24b7d6ec3b4">
  <xsd:schema xmlns:xsd="http://www.w3.org/2001/XMLSchema" xmlns:xs="http://www.w3.org/2001/XMLSchema" xmlns:p="http://schemas.microsoft.com/office/2006/metadata/properties" targetNamespace="http://schemas.microsoft.com/office/2006/metadata/properties" ma:root="true" ma:fieldsID="4de07ce6b88a72a4e4be9e5956bf67d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BAF27B-9FEF-436C-AB47-DEFF0D8EEC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366D9599-2B08-4F98-9AA5-B516E865AA28}">
  <ds:schemaRefs>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purl.org/dc/term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5D5D71C-F3A6-4EA5-89DD-0B918D1A9B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OIM</vt:lpstr>
      <vt:lpstr>izmaksas</vt:lpstr>
      <vt:lpstr>Atlidz._aprekins</vt:lpstr>
      <vt:lpstr>Šabloni</vt:lpstr>
      <vt:lpstr>OIM!Print_Area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Jolanta Krastiņa</cp:lastModifiedBy>
  <cp:lastPrinted>2022-07-06T07:42:55Z</cp:lastPrinted>
  <dcterms:created xsi:type="dcterms:W3CDTF">2006-12-13T09:33:09Z</dcterms:created>
  <dcterms:modified xsi:type="dcterms:W3CDTF">2023-09-04T06:59:24Z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0x010100552C48976B619C498B789A3AB076037C</vt:lpwstr>
  </property>
</Properties>
</file>