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vnozare.pri\vm\Redirect_profiles\lzandberga\Desktop\LZ\DARBAM_MATERIALI\budzets 2019\2025\sas-plans_170725\"/>
    </mc:Choice>
  </mc:AlternateContent>
  <xr:revisionPtr revIDLastSave="0" documentId="13_ncr:1_{7A92E66E-8DB1-41AE-9F63-856E83AFDB68}" xr6:coauthVersionLast="47" xr6:coauthVersionMax="47" xr10:uidLastSave="{00000000-0000-0000-0000-000000000000}"/>
  <bookViews>
    <workbookView xWindow="-120" yWindow="-120" windowWidth="29040" windowHeight="15840" tabRatio="1000" xr2:uid="{8DD38F14-DDBD-41BE-A883-512BAB7D80FC}"/>
  </bookViews>
  <sheets>
    <sheet name="Kopsavilkums" sheetId="18" r:id="rId1"/>
    <sheet name="1.1.2" sheetId="40" r:id="rId2"/>
    <sheet name="1.1.4." sheetId="37" r:id="rId3"/>
    <sheet name="2.1.2.1." sheetId="17" r:id="rId4"/>
    <sheet name="2.1.2.2" sheetId="41" r:id="rId5"/>
    <sheet name="2.1.4.1." sheetId="7" r:id="rId6"/>
    <sheet name="2.1.4.2." sheetId="33" r:id="rId7"/>
    <sheet name="2.1.5.1." sheetId="5" r:id="rId8"/>
    <sheet name="2.1.5.2" sheetId="42" r:id="rId9"/>
    <sheet name="2.1.6." sheetId="6" r:id="rId10"/>
    <sheet name="2.1.7." sheetId="24" r:id="rId11"/>
    <sheet name="2.1.8." sheetId="43" r:id="rId12"/>
    <sheet name="2.2.1." sheetId="34" r:id="rId13"/>
    <sheet name="2.2.2" sheetId="44" r:id="rId14"/>
    <sheet name="2.2.3.1" sheetId="45" r:id="rId15"/>
    <sheet name="2.2.3.2." sheetId="38" r:id="rId16"/>
    <sheet name="2.2.3.3" sheetId="46" r:id="rId17"/>
    <sheet name="2.2.4.1." sheetId="15" r:id="rId18"/>
    <sheet name="2.2.4.2" sheetId="47" r:id="rId19"/>
    <sheet name="2.2.5." sheetId="48" r:id="rId20"/>
    <sheet name="2.2.6." sheetId="53" r:id="rId21"/>
    <sheet name="2.3.1.1.-2.3.1.3.,2.3.2.-2.3.5." sheetId="35" r:id="rId22"/>
    <sheet name="2.4.1" sheetId="56" r:id="rId23"/>
    <sheet name="2.4.3.1.-2.4.3.2." sheetId="31" r:id="rId24"/>
    <sheet name="2.4.4." sheetId="20" r:id="rId25"/>
    <sheet name="2.4.5.1. " sheetId="16" r:id="rId26"/>
    <sheet name="2.4.5.2. " sheetId="10" r:id="rId27"/>
    <sheet name="2.4.6" sheetId="11" r:id="rId28"/>
    <sheet name="2.4.7." sheetId="8" r:id="rId29"/>
    <sheet name="2.6.1" sheetId="57" r:id="rId30"/>
    <sheet name="3.1.1.1." sheetId="49" r:id="rId31"/>
    <sheet name="3.1.2." sheetId="50" r:id="rId32"/>
    <sheet name="3.1.3." sheetId="51" r:id="rId33"/>
    <sheet name="3.1.4" sheetId="52" r:id="rId34"/>
    <sheet name="3.1.5" sheetId="55" r:id="rId35"/>
  </sheets>
  <externalReferences>
    <externalReference r:id="rId36"/>
    <externalReference r:id="rId37"/>
    <externalReference r:id="rId38"/>
    <externalReference r:id="rId39"/>
    <externalReference r:id="rId40"/>
    <externalReference r:id="rId41"/>
    <externalReference r:id="rId42"/>
  </externalReferences>
  <definedNames>
    <definedName name="_1_2_d_NMP_lim">#REF!</definedName>
    <definedName name="_xlnm._FilterDatabase" localSheetId="0" hidden="1">Kopsavilkums!$A$5:$Q$103</definedName>
    <definedName name="_Hlk199328070">Kopsavilkums!$C$78</definedName>
    <definedName name="_Hlk200019317">Kopsavilkums!$C$45</definedName>
    <definedName name="_Hlk200028924">Kopsavilkums!$C$66</definedName>
    <definedName name="_msoanchor_1">Kopsavilkums!$O$34</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 localSheetId="15">{0,1,2,3,4,5,6} + {0;1;2;3;4;5}*7</definedName>
    <definedName name="DaysAndWeeks" localSheetId="23">{0,1,2,3,4,5,6} + {0;1;2;3;4;5}*7</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 localSheetId="15">{0,1,2,3,4,5,6} + {0;1;2;3;4;5}*7</definedName>
    <definedName name="gala" localSheetId="23">{0,1,2,3,4,5,6} + {0;1;2;3;4;5}*7</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_xlnm.Print_Area" localSheetId="6">'2.1.4.2.'!$A$1:$H$20</definedName>
    <definedName name="_xlnm.Print_Area" localSheetId="10">'2.1.7.'!$A$1:$AD$27</definedName>
    <definedName name="_xlnm.Print_Area" localSheetId="12">'2.2.1.'!$A$1:$Y$69</definedName>
    <definedName name="_xlnm.Print_Area" localSheetId="21">'2.3.1.1.-2.3.1.3.,2.3.2.-2.3.5.'!$A$1:$M$27</definedName>
    <definedName name="_xlnm.Print_Area" localSheetId="23">'2.4.3.1.-2.4.3.2.'!$A$1:$V$69</definedName>
    <definedName name="_xlnm.Print_Area" localSheetId="24">'2.4.4.'!$A$1:$AD$29</definedName>
    <definedName name="_xlnm.Print_Area" localSheetId="25">'2.4.5.1. '!$A$1:$I$17</definedName>
    <definedName name="_xlnm.Print_Area" localSheetId="26">'2.4.5.2. '!$A$1:$Q$25</definedName>
    <definedName name="Recover">[3]Macro1!$A$135</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arifs_28">#REF!</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15" l="1"/>
  <c r="C5" i="34"/>
  <c r="J6" i="18"/>
  <c r="M77" i="18"/>
  <c r="M16" i="18" s="1"/>
  <c r="J77" i="18"/>
  <c r="K76" i="18"/>
  <c r="J76" i="18"/>
  <c r="S44" i="31"/>
  <c r="S32" i="31"/>
  <c r="S31" i="31"/>
  <c r="S27" i="31"/>
  <c r="K27" i="31"/>
  <c r="C5" i="31"/>
  <c r="Q27" i="31"/>
  <c r="O27" i="31"/>
  <c r="R42" i="31"/>
  <c r="S33" i="31"/>
  <c r="S34" i="31"/>
  <c r="S35" i="31"/>
  <c r="S36" i="31"/>
  <c r="S37" i="31"/>
  <c r="S38" i="31"/>
  <c r="S39" i="31"/>
  <c r="S40" i="31"/>
  <c r="S41" i="31"/>
  <c r="P32" i="31"/>
  <c r="P33" i="31"/>
  <c r="P34" i="31"/>
  <c r="P35" i="31"/>
  <c r="P36" i="31"/>
  <c r="P37" i="31"/>
  <c r="P38" i="31"/>
  <c r="P39" i="31"/>
  <c r="P40" i="31"/>
  <c r="P41" i="31"/>
  <c r="P42" i="31"/>
  <c r="P43" i="31"/>
  <c r="P31" i="31"/>
  <c r="P27" i="31"/>
  <c r="N27" i="31"/>
  <c r="G20" i="18"/>
  <c r="H20" i="18"/>
  <c r="I20" i="18"/>
  <c r="I11" i="18" s="1"/>
  <c r="I8" i="18" s="1"/>
  <c r="J20" i="18"/>
  <c r="K20" i="18"/>
  <c r="K11" i="18" s="1"/>
  <c r="K8" i="18" s="1"/>
  <c r="L20" i="18"/>
  <c r="L11" i="18" s="1"/>
  <c r="L8" i="18" s="1"/>
  <c r="M20" i="18"/>
  <c r="F20" i="18"/>
  <c r="G19" i="18"/>
  <c r="H19" i="18"/>
  <c r="I19" i="18"/>
  <c r="J19" i="18"/>
  <c r="K19" i="18"/>
  <c r="L19" i="18"/>
  <c r="M19" i="18"/>
  <c r="F19" i="18"/>
  <c r="G18" i="18"/>
  <c r="H18" i="18"/>
  <c r="I18" i="18"/>
  <c r="J18" i="18"/>
  <c r="K18" i="18"/>
  <c r="L18" i="18"/>
  <c r="M18" i="18"/>
  <c r="F18" i="18"/>
  <c r="G17" i="18"/>
  <c r="H17" i="18"/>
  <c r="I17" i="18"/>
  <c r="L17" i="18"/>
  <c r="L10" i="18" s="1"/>
  <c r="M17" i="18"/>
  <c r="F17" i="18"/>
  <c r="G16" i="18"/>
  <c r="H16" i="18"/>
  <c r="I16" i="18"/>
  <c r="L16" i="18"/>
  <c r="F16" i="18"/>
  <c r="K12" i="18"/>
  <c r="L12" i="18"/>
  <c r="M12" i="18"/>
  <c r="J12" i="18"/>
  <c r="G15" i="18"/>
  <c r="H15" i="18"/>
  <c r="I15" i="18"/>
  <c r="J15" i="18"/>
  <c r="K15" i="18"/>
  <c r="L15" i="18"/>
  <c r="M15" i="18"/>
  <c r="F15" i="18"/>
  <c r="G14" i="18"/>
  <c r="H14" i="18"/>
  <c r="I14" i="18"/>
  <c r="J14" i="18"/>
  <c r="K14" i="18"/>
  <c r="L14" i="18"/>
  <c r="M14" i="18"/>
  <c r="F14" i="18"/>
  <c r="G13" i="18"/>
  <c r="H13" i="18"/>
  <c r="I13" i="18"/>
  <c r="J13" i="18"/>
  <c r="K13" i="18"/>
  <c r="L13" i="18"/>
  <c r="M13" i="18"/>
  <c r="F13" i="18"/>
  <c r="G12" i="18"/>
  <c r="H12" i="18"/>
  <c r="I12" i="18"/>
  <c r="F12" i="18"/>
  <c r="G22" i="18"/>
  <c r="H22" i="18"/>
  <c r="I22" i="18"/>
  <c r="J22" i="18"/>
  <c r="K22" i="18"/>
  <c r="L22" i="18"/>
  <c r="M22" i="18"/>
  <c r="F22" i="18"/>
  <c r="F21" i="18" s="1"/>
  <c r="G29" i="18"/>
  <c r="H29" i="18"/>
  <c r="I29" i="18"/>
  <c r="L29" i="18"/>
  <c r="F29" i="18"/>
  <c r="K30" i="18"/>
  <c r="K60" i="18"/>
  <c r="G87" i="18"/>
  <c r="H87" i="18"/>
  <c r="I87" i="18"/>
  <c r="J87" i="18"/>
  <c r="K87" i="18"/>
  <c r="L87" i="18"/>
  <c r="M87" i="18"/>
  <c r="F87" i="18"/>
  <c r="F8" i="18"/>
  <c r="G11" i="18"/>
  <c r="G8" i="18" s="1"/>
  <c r="H11" i="18"/>
  <c r="H8" i="18" s="1"/>
  <c r="J11" i="18"/>
  <c r="J8" i="18" s="1"/>
  <c r="M11" i="18"/>
  <c r="M8" i="18" s="1"/>
  <c r="F11" i="18"/>
  <c r="H40" i="18"/>
  <c r="F30" i="18"/>
  <c r="I30" i="18"/>
  <c r="L30" i="18"/>
  <c r="I46" i="18"/>
  <c r="L46" i="18"/>
  <c r="F46" i="18"/>
  <c r="F60" i="18"/>
  <c r="F97" i="18"/>
  <c r="F96" i="18" s="1"/>
  <c r="H103" i="18"/>
  <c r="C5" i="55"/>
  <c r="C6" i="52"/>
  <c r="H102" i="18" s="1"/>
  <c r="H101" i="18"/>
  <c r="K13" i="51"/>
  <c r="C6" i="51"/>
  <c r="H100" i="18"/>
  <c r="H98" i="18"/>
  <c r="C6" i="50"/>
  <c r="C6" i="49"/>
  <c r="G97" i="18"/>
  <c r="M92" i="18"/>
  <c r="L92" i="18"/>
  <c r="K92" i="18"/>
  <c r="J92" i="18"/>
  <c r="H92" i="18"/>
  <c r="G92" i="18"/>
  <c r="F92" i="18"/>
  <c r="C5" i="57"/>
  <c r="J11" i="57"/>
  <c r="K11" i="57" s="1"/>
  <c r="K12" i="57" s="1"/>
  <c r="H11" i="57"/>
  <c r="H12" i="57" s="1"/>
  <c r="C6" i="10"/>
  <c r="J80" i="18" s="1"/>
  <c r="K80" i="18" s="1"/>
  <c r="M80" i="18" s="1"/>
  <c r="F80" i="18"/>
  <c r="G80" i="18" s="1"/>
  <c r="H80" i="18" s="1"/>
  <c r="J79" i="18"/>
  <c r="K79" i="18" s="1"/>
  <c r="M79" i="18" s="1"/>
  <c r="F79" i="18"/>
  <c r="G79" i="18" s="1"/>
  <c r="H79" i="18" s="1"/>
  <c r="N23" i="20"/>
  <c r="H71" i="18"/>
  <c r="C5" i="56"/>
  <c r="J11" i="56"/>
  <c r="K11" i="56" s="1"/>
  <c r="K12" i="56" s="1"/>
  <c r="H11" i="56"/>
  <c r="H12" i="56" s="1"/>
  <c r="L7" i="18" l="1"/>
  <c r="L6" i="18"/>
  <c r="L9" i="18"/>
  <c r="F70" i="18"/>
  <c r="B5" i="53"/>
  <c r="H56" i="18"/>
  <c r="C5" i="48"/>
  <c r="B5" i="46"/>
  <c r="B5" i="45"/>
  <c r="K14" i="44"/>
  <c r="B5" i="44"/>
  <c r="C5" i="43"/>
  <c r="B5" i="41"/>
  <c r="G57" i="18"/>
  <c r="H55" i="18"/>
  <c r="C5" i="47"/>
  <c r="G52" i="18"/>
  <c r="G49" i="18"/>
  <c r="G48" i="18"/>
  <c r="H45" i="18"/>
  <c r="H30" i="18" s="1"/>
  <c r="H25" i="24"/>
  <c r="C5" i="42"/>
  <c r="C5" i="33"/>
  <c r="E19" i="33"/>
  <c r="G19" i="33"/>
  <c r="J36" i="18"/>
  <c r="M12" i="7"/>
  <c r="L12" i="7"/>
  <c r="K12" i="7"/>
  <c r="I12" i="7"/>
  <c r="G12" i="7"/>
  <c r="C5" i="7"/>
  <c r="F12" i="7"/>
  <c r="O12" i="7"/>
  <c r="G34" i="18"/>
  <c r="G30" i="18" s="1"/>
  <c r="C5" i="40"/>
  <c r="H24" i="18" s="1"/>
  <c r="B5" i="40"/>
  <c r="G24" i="18" s="1"/>
  <c r="J12" i="40"/>
  <c r="K12" i="40" s="1"/>
  <c r="K13" i="40" s="1"/>
  <c r="J12" i="55"/>
  <c r="K12" i="55" s="1"/>
  <c r="K13" i="55" s="1"/>
  <c r="H12" i="55"/>
  <c r="H13" i="55" s="1"/>
  <c r="J11" i="53"/>
  <c r="K11" i="53" s="1"/>
  <c r="K12" i="53" s="1"/>
  <c r="H11" i="53"/>
  <c r="H12" i="53" s="1"/>
  <c r="H12" i="52"/>
  <c r="J11" i="52"/>
  <c r="K11" i="52" s="1"/>
  <c r="H11" i="52"/>
  <c r="H12" i="51"/>
  <c r="J11" i="51"/>
  <c r="K11" i="51" s="1"/>
  <c r="H11" i="51"/>
  <c r="K13" i="50"/>
  <c r="K14" i="50" s="1"/>
  <c r="H13" i="50"/>
  <c r="J12" i="50"/>
  <c r="K12" i="50" s="1"/>
  <c r="H12" i="50"/>
  <c r="K14" i="49"/>
  <c r="K15" i="49" s="1"/>
  <c r="H14" i="49"/>
  <c r="J13" i="49"/>
  <c r="K13" i="49" s="1"/>
  <c r="H13" i="49"/>
  <c r="J12" i="48"/>
  <c r="K12" i="48" s="1"/>
  <c r="H12" i="48"/>
  <c r="J11" i="48"/>
  <c r="K11" i="48" s="1"/>
  <c r="H11" i="48"/>
  <c r="J14" i="47"/>
  <c r="K14" i="47" s="1"/>
  <c r="H14" i="47"/>
  <c r="J13" i="47"/>
  <c r="K13" i="47" s="1"/>
  <c r="H13" i="47"/>
  <c r="J12" i="47"/>
  <c r="K12" i="47" s="1"/>
  <c r="H12" i="47"/>
  <c r="H15" i="47" s="1"/>
  <c r="J14" i="46"/>
  <c r="K14" i="46" s="1"/>
  <c r="H14" i="46"/>
  <c r="J13" i="46"/>
  <c r="K13" i="46" s="1"/>
  <c r="H13" i="46"/>
  <c r="J12" i="46"/>
  <c r="K12" i="46" s="1"/>
  <c r="H12" i="46"/>
  <c r="H15" i="46" s="1"/>
  <c r="J14" i="45"/>
  <c r="K14" i="45" s="1"/>
  <c r="H14" i="45"/>
  <c r="J13" i="45"/>
  <c r="K13" i="45" s="1"/>
  <c r="H13" i="45"/>
  <c r="J12" i="45"/>
  <c r="K12" i="45" s="1"/>
  <c r="H12" i="45"/>
  <c r="H15" i="45" s="1"/>
  <c r="H14" i="44"/>
  <c r="J13" i="44"/>
  <c r="K13" i="44" s="1"/>
  <c r="H13" i="44"/>
  <c r="J12" i="44"/>
  <c r="K12" i="44" s="1"/>
  <c r="H12" i="44"/>
  <c r="J11" i="44"/>
  <c r="K11" i="44" s="1"/>
  <c r="H11" i="44"/>
  <c r="J14" i="43"/>
  <c r="K14" i="43" s="1"/>
  <c r="H14" i="43"/>
  <c r="J13" i="43"/>
  <c r="K13" i="43" s="1"/>
  <c r="H13" i="43"/>
  <c r="H15" i="43" s="1"/>
  <c r="J13" i="42"/>
  <c r="K13" i="42" s="1"/>
  <c r="H13" i="42"/>
  <c r="K12" i="42"/>
  <c r="J12" i="42"/>
  <c r="H12" i="42"/>
  <c r="J14" i="41"/>
  <c r="K14" i="41" s="1"/>
  <c r="H14" i="41"/>
  <c r="J13" i="41"/>
  <c r="K13" i="41" s="1"/>
  <c r="H13" i="41"/>
  <c r="J12" i="41"/>
  <c r="K12" i="41" s="1"/>
  <c r="K15" i="41" s="1"/>
  <c r="H12" i="41"/>
  <c r="H15" i="41" s="1"/>
  <c r="H12" i="40"/>
  <c r="H13" i="40" s="1"/>
  <c r="D6" i="10"/>
  <c r="P21" i="10"/>
  <c r="Q21" i="10" s="1"/>
  <c r="P22" i="10"/>
  <c r="Q22" i="10" s="1"/>
  <c r="P23" i="10"/>
  <c r="Q23" i="10" s="1"/>
  <c r="P20" i="10"/>
  <c r="Q20" i="10" s="1"/>
  <c r="Y23" i="10"/>
  <c r="B7" i="10"/>
  <c r="B6" i="10"/>
  <c r="F13" i="10"/>
  <c r="F14" i="10"/>
  <c r="F15" i="10"/>
  <c r="F12" i="10"/>
  <c r="C14" i="10"/>
  <c r="C15" i="10"/>
  <c r="C13" i="10"/>
  <c r="V24" i="34"/>
  <c r="X67" i="34"/>
  <c r="X57" i="34"/>
  <c r="Y57" i="34" s="1"/>
  <c r="H46" i="18" l="1"/>
  <c r="G46" i="18"/>
  <c r="H13" i="48"/>
  <c r="K15" i="47"/>
  <c r="K15" i="46"/>
  <c r="K15" i="45"/>
  <c r="H14" i="42"/>
  <c r="K13" i="48"/>
  <c r="K15" i="43"/>
  <c r="K14" i="42"/>
  <c r="Y67" i="34"/>
  <c r="X24" i="34"/>
  <c r="D6" i="35"/>
  <c r="X45" i="34"/>
  <c r="C7" i="35"/>
  <c r="C6" i="35"/>
  <c r="X48" i="34"/>
  <c r="X49" i="34"/>
  <c r="X50" i="34"/>
  <c r="X51" i="34"/>
  <c r="X52" i="34"/>
  <c r="X53" i="34"/>
  <c r="X54" i="34"/>
  <c r="X55" i="34"/>
  <c r="X56" i="34"/>
  <c r="X47" i="34"/>
  <c r="X44" i="34"/>
  <c r="X42" i="34"/>
  <c r="X41" i="34"/>
  <c r="X39" i="34"/>
  <c r="X37" i="34"/>
  <c r="E7" i="35"/>
  <c r="F7" i="35"/>
  <c r="G7" i="35"/>
  <c r="I7" i="35"/>
  <c r="C19" i="35"/>
  <c r="J18" i="35"/>
  <c r="J69" i="18" s="1"/>
  <c r="K18" i="35"/>
  <c r="K69" i="18" s="1"/>
  <c r="L18" i="35"/>
  <c r="M69" i="18" s="1"/>
  <c r="G15" i="35"/>
  <c r="I12" i="35"/>
  <c r="H12" i="35"/>
  <c r="G12" i="35"/>
  <c r="H13" i="35"/>
  <c r="G13" i="35"/>
  <c r="I13" i="35"/>
  <c r="I92" i="18"/>
  <c r="G70" i="18"/>
  <c r="H70" i="18"/>
  <c r="I70" i="18"/>
  <c r="L70" i="18"/>
  <c r="G60" i="18"/>
  <c r="H60" i="18"/>
  <c r="I60" i="18"/>
  <c r="L60" i="18"/>
  <c r="C7" i="24"/>
  <c r="C6" i="24"/>
  <c r="I10" i="18" l="1"/>
  <c r="H10" i="18"/>
  <c r="F10" i="18"/>
  <c r="G10" i="18"/>
  <c r="F17" i="16"/>
  <c r="G12" i="16"/>
  <c r="G13" i="16"/>
  <c r="G14" i="16"/>
  <c r="G15" i="16"/>
  <c r="G16" i="16"/>
  <c r="B6" i="16"/>
  <c r="X28" i="34"/>
  <c r="X29" i="34"/>
  <c r="X27" i="34"/>
  <c r="X26" i="34"/>
  <c r="X23" i="34"/>
  <c r="X21" i="34"/>
  <c r="X20" i="34"/>
  <c r="X18" i="34"/>
  <c r="X16" i="34"/>
  <c r="Q26" i="11"/>
  <c r="P26" i="11"/>
  <c r="T26" i="11"/>
  <c r="M22" i="31"/>
  <c r="M20" i="31"/>
  <c r="M18" i="31"/>
  <c r="M16" i="31"/>
  <c r="G6" i="18" l="1"/>
  <c r="G7" i="18"/>
  <c r="G9" i="18"/>
  <c r="H7" i="18"/>
  <c r="H6" i="18"/>
  <c r="H9" i="18"/>
  <c r="I6" i="18"/>
  <c r="I7" i="18"/>
  <c r="I9" i="18"/>
  <c r="F6" i="18"/>
  <c r="F9" i="18"/>
  <c r="F7" i="18"/>
  <c r="Y29" i="34"/>
  <c r="G17" i="16"/>
  <c r="C6" i="16" s="1"/>
  <c r="D6" i="16" s="1"/>
  <c r="E6" i="16" s="1"/>
  <c r="B7" i="5" l="1"/>
  <c r="B6" i="5"/>
  <c r="L31" i="5"/>
  <c r="J31" i="5"/>
  <c r="H9" i="16"/>
  <c r="B6" i="11"/>
  <c r="E22" i="10"/>
  <c r="L26" i="11"/>
  <c r="J20" i="11"/>
  <c r="M17" i="31"/>
  <c r="M19" i="31"/>
  <c r="M21" i="31"/>
  <c r="C10" i="31"/>
  <c r="D10" i="31"/>
  <c r="E10" i="31"/>
  <c r="M15" i="31"/>
  <c r="D60" i="38"/>
  <c r="E60" i="38"/>
  <c r="G60" i="38"/>
  <c r="D61" i="38"/>
  <c r="E8" i="38" s="1"/>
  <c r="J51" i="18" s="1"/>
  <c r="D62" i="38"/>
  <c r="D63" i="38"/>
  <c r="G8" i="38" s="1"/>
  <c r="M51" i="18" s="1"/>
  <c r="B51" i="38"/>
  <c r="C51" i="38"/>
  <c r="D51" i="38"/>
  <c r="E51" i="38"/>
  <c r="G25" i="38"/>
  <c r="H25" i="38"/>
  <c r="I25" i="38"/>
  <c r="J25" i="38"/>
  <c r="G26" i="38"/>
  <c r="H26" i="38"/>
  <c r="I26" i="38"/>
  <c r="J26" i="38"/>
  <c r="G27" i="38"/>
  <c r="H27" i="38"/>
  <c r="I27" i="38"/>
  <c r="J27" i="38"/>
  <c r="G28" i="38"/>
  <c r="H28" i="38"/>
  <c r="I28" i="38"/>
  <c r="J28" i="38"/>
  <c r="G29" i="38"/>
  <c r="H29" i="38"/>
  <c r="I29" i="38"/>
  <c r="J29" i="38"/>
  <c r="G30" i="38"/>
  <c r="H30" i="38"/>
  <c r="I30" i="38"/>
  <c r="J30" i="38"/>
  <c r="G31" i="38"/>
  <c r="H31" i="38"/>
  <c r="I31" i="38"/>
  <c r="J31" i="38"/>
  <c r="G32" i="38"/>
  <c r="H32" i="38"/>
  <c r="I32" i="38"/>
  <c r="J32" i="38"/>
  <c r="G33" i="38"/>
  <c r="H33" i="38"/>
  <c r="I33" i="38"/>
  <c r="J33" i="38"/>
  <c r="C34" i="38"/>
  <c r="C50" i="38" s="1"/>
  <c r="G35" i="38"/>
  <c r="H35" i="38"/>
  <c r="I35" i="38"/>
  <c r="F8" i="38" s="1"/>
  <c r="K51" i="18" s="1"/>
  <c r="J35" i="38"/>
  <c r="K20" i="38"/>
  <c r="W20" i="38" s="1"/>
  <c r="AD20" i="38"/>
  <c r="K21" i="38"/>
  <c r="W21" i="38" s="1"/>
  <c r="AD21" i="38"/>
  <c r="G14" i="38"/>
  <c r="G20" i="38" s="1"/>
  <c r="H14" i="38"/>
  <c r="H21" i="38" s="1"/>
  <c r="I14" i="38"/>
  <c r="I21" i="38" s="1"/>
  <c r="H22" i="31" l="1"/>
  <c r="H16" i="31"/>
  <c r="H18" i="31"/>
  <c r="H20" i="31"/>
  <c r="G16" i="31"/>
  <c r="G22" i="31"/>
  <c r="G20" i="31"/>
  <c r="G18" i="31"/>
  <c r="G21" i="38"/>
  <c r="U21" i="38" s="1"/>
  <c r="H20" i="38"/>
  <c r="G34" i="38"/>
  <c r="G36" i="38" s="1"/>
  <c r="C48" i="38" s="1"/>
  <c r="I20" i="38"/>
  <c r="H34" i="38"/>
  <c r="H36" i="38" s="1"/>
  <c r="J34" i="38"/>
  <c r="G7" i="38" s="1"/>
  <c r="M50" i="18" s="1"/>
  <c r="C36" i="38"/>
  <c r="B48" i="38" s="1"/>
  <c r="I34" i="38"/>
  <c r="F7" i="38" s="1"/>
  <c r="K50" i="18" s="1"/>
  <c r="H17" i="31"/>
  <c r="H19" i="31"/>
  <c r="H21" i="31"/>
  <c r="H15" i="31"/>
  <c r="S15" i="31" s="1"/>
  <c r="G17" i="31"/>
  <c r="G19" i="31"/>
  <c r="G21" i="31"/>
  <c r="G15" i="31"/>
  <c r="E50" i="38"/>
  <c r="J21" i="38"/>
  <c r="V21" i="38" s="1"/>
  <c r="D50" i="38"/>
  <c r="K27" i="34"/>
  <c r="K26" i="34"/>
  <c r="K25" i="34"/>
  <c r="K24" i="34"/>
  <c r="K23" i="34"/>
  <c r="K22" i="34"/>
  <c r="K21" i="34"/>
  <c r="K20" i="34"/>
  <c r="K19" i="34"/>
  <c r="K18" i="34"/>
  <c r="K16" i="34"/>
  <c r="L16" i="31" l="1"/>
  <c r="Q16" i="31"/>
  <c r="R16" i="31"/>
  <c r="S16" i="31"/>
  <c r="Q20" i="31"/>
  <c r="S20" i="31"/>
  <c r="R20" i="31"/>
  <c r="L20" i="31"/>
  <c r="Q18" i="31"/>
  <c r="S18" i="31"/>
  <c r="L18" i="31"/>
  <c r="R18" i="31"/>
  <c r="L22" i="31"/>
  <c r="R22" i="31"/>
  <c r="Q22" i="31"/>
  <c r="T22" i="31" s="1"/>
  <c r="V22" i="31" s="1"/>
  <c r="Q19" i="31"/>
  <c r="S22" i="31"/>
  <c r="O21" i="38"/>
  <c r="Y21" i="38" s="1"/>
  <c r="P21" i="38"/>
  <c r="Z21" i="38" s="1"/>
  <c r="U20" i="38"/>
  <c r="J36" i="38"/>
  <c r="E7" i="38"/>
  <c r="J50" i="18" s="1"/>
  <c r="Q21" i="38"/>
  <c r="AA21" i="38" s="1"/>
  <c r="J20" i="38"/>
  <c r="P20" i="38"/>
  <c r="Z20" i="38" s="1"/>
  <c r="I36" i="38"/>
  <c r="O20" i="38"/>
  <c r="Y20" i="38" s="1"/>
  <c r="Q20" i="38"/>
  <c r="AA20" i="38" s="1"/>
  <c r="Q17" i="31"/>
  <c r="R17" i="31"/>
  <c r="S17" i="31"/>
  <c r="R21" i="31"/>
  <c r="R15" i="31"/>
  <c r="L15" i="31"/>
  <c r="Q15" i="31"/>
  <c r="Q21" i="31"/>
  <c r="S21" i="31"/>
  <c r="L19" i="31"/>
  <c r="R19" i="31"/>
  <c r="S19" i="31"/>
  <c r="L17" i="31"/>
  <c r="L21" i="31"/>
  <c r="AC21" i="38" l="1"/>
  <c r="AE21" i="38" s="1"/>
  <c r="T16" i="31"/>
  <c r="V16" i="31" s="1"/>
  <c r="T20" i="31"/>
  <c r="V20" i="31" s="1"/>
  <c r="T18" i="31"/>
  <c r="V18" i="31" s="1"/>
  <c r="R21" i="38"/>
  <c r="T21" i="38" s="1"/>
  <c r="V20" i="38"/>
  <c r="AC20" i="38" s="1"/>
  <c r="AE20" i="38" s="1"/>
  <c r="R20" i="38"/>
  <c r="T20" i="38" s="1"/>
  <c r="T21" i="31"/>
  <c r="V21" i="31" s="1"/>
  <c r="F30" i="31" l="1"/>
  <c r="F51" i="37"/>
  <c r="F52" i="37"/>
  <c r="F53" i="37"/>
  <c r="F56" i="37"/>
  <c r="F64" i="37" s="1"/>
  <c r="E6" i="37" s="1"/>
  <c r="F6" i="37" s="1"/>
  <c r="F57" i="37"/>
  <c r="F65" i="37" s="1"/>
  <c r="E7" i="37" s="1"/>
  <c r="F7" i="37" s="1"/>
  <c r="F60" i="37"/>
  <c r="F31" i="37"/>
  <c r="F32" i="37"/>
  <c r="F33" i="37"/>
  <c r="F36" i="37"/>
  <c r="F44" i="37" s="1"/>
  <c r="D6" i="37" s="1"/>
  <c r="K26" i="18" s="1"/>
  <c r="F37" i="37"/>
  <c r="F40" i="37"/>
  <c r="F26" i="37"/>
  <c r="C6" i="37" s="1"/>
  <c r="J26" i="18" s="1"/>
  <c r="F22" i="37"/>
  <c r="F12" i="37"/>
  <c r="F13" i="37"/>
  <c r="F14" i="37"/>
  <c r="F17" i="37"/>
  <c r="F18" i="37"/>
  <c r="Q42" i="31"/>
  <c r="Q43" i="31"/>
  <c r="S30" i="31" l="1"/>
  <c r="P30" i="31"/>
  <c r="F45" i="37"/>
  <c r="D7" i="37" s="1"/>
  <c r="K27" i="18" s="1"/>
  <c r="M26" i="18"/>
  <c r="M27" i="18"/>
  <c r="F27" i="37"/>
  <c r="C7" i="37" s="1"/>
  <c r="J27" i="18" s="1"/>
  <c r="F54" i="37"/>
  <c r="F62" i="37" s="1"/>
  <c r="F34" i="37"/>
  <c r="F42" i="37" s="1"/>
  <c r="F15" i="37"/>
  <c r="F24" i="37" s="1"/>
  <c r="J17" i="35"/>
  <c r="J66" i="18" s="1"/>
  <c r="K17" i="35"/>
  <c r="K66" i="18" s="1"/>
  <c r="L17" i="35"/>
  <c r="M66" i="18" s="1"/>
  <c r="L15" i="35"/>
  <c r="K15" i="35"/>
  <c r="J15" i="35"/>
  <c r="J14" i="35"/>
  <c r="B66" i="34"/>
  <c r="B5" i="7" l="1"/>
  <c r="F10" i="8" l="1"/>
  <c r="E10" i="8"/>
  <c r="H15" i="8" s="1"/>
  <c r="D10" i="8"/>
  <c r="G15" i="8" s="1"/>
  <c r="Q15" i="8" l="1"/>
  <c r="P15" i="8"/>
  <c r="O15" i="8"/>
  <c r="J15" i="8"/>
  <c r="D11" i="15" l="1"/>
  <c r="H11" i="15" s="1"/>
  <c r="K15" i="8"/>
  <c r="D12" i="11"/>
  <c r="C12" i="11"/>
  <c r="B12" i="11"/>
  <c r="J19" i="11"/>
  <c r="F19" i="11" l="1"/>
  <c r="F20" i="11"/>
  <c r="H19" i="11"/>
  <c r="H20" i="11"/>
  <c r="G19" i="11"/>
  <c r="G20" i="11"/>
  <c r="F11" i="15"/>
  <c r="G11" i="15"/>
  <c r="R15" i="8"/>
  <c r="T15" i="8" s="1"/>
  <c r="D20" i="8" s="1"/>
  <c r="K20" i="8" l="1"/>
  <c r="C6" i="8" s="1"/>
  <c r="O20" i="8"/>
  <c r="I20" i="11"/>
  <c r="P20" i="11"/>
  <c r="N20" i="11"/>
  <c r="O20" i="11"/>
  <c r="I19" i="11"/>
  <c r="P19" i="11"/>
  <c r="O19" i="11"/>
  <c r="N19" i="11"/>
  <c r="D6" i="8"/>
  <c r="Q20" i="11" l="1"/>
  <c r="S20" i="11" s="1"/>
  <c r="Q19" i="11"/>
  <c r="S19" i="11" s="1"/>
  <c r="C27" i="11" s="1"/>
  <c r="P27" i="11" s="1"/>
  <c r="X66" i="34"/>
  <c r="K66" i="34"/>
  <c r="G96" i="18"/>
  <c r="H97" i="18"/>
  <c r="H96" i="18" s="1"/>
  <c r="I97" i="18"/>
  <c r="I96" i="18" s="1"/>
  <c r="J97" i="18"/>
  <c r="J96" i="18" s="1"/>
  <c r="K97" i="18"/>
  <c r="K96" i="18" s="1"/>
  <c r="L97" i="18"/>
  <c r="L96" i="18" s="1"/>
  <c r="M97" i="18"/>
  <c r="M96" i="18" s="1"/>
  <c r="T27" i="11" l="1"/>
  <c r="L27" i="11"/>
  <c r="G21" i="18"/>
  <c r="H21" i="18"/>
  <c r="I21" i="18"/>
  <c r="J21" i="18"/>
  <c r="K21" i="18"/>
  <c r="L21" i="18"/>
  <c r="M21" i="18"/>
  <c r="L16" i="35"/>
  <c r="K16" i="35"/>
  <c r="J16" i="35"/>
  <c r="L14" i="35"/>
  <c r="M63" i="18" s="1"/>
  <c r="K14" i="35"/>
  <c r="K63" i="18" s="1"/>
  <c r="J63" i="18"/>
  <c r="L13" i="35"/>
  <c r="M62" i="18" s="1"/>
  <c r="K13" i="35"/>
  <c r="K62" i="18" s="1"/>
  <c r="K12" i="35"/>
  <c r="L12" i="35"/>
  <c r="J13" i="35"/>
  <c r="J62" i="18" s="1"/>
  <c r="J12" i="35"/>
  <c r="E82" i="18"/>
  <c r="E81" i="18"/>
  <c r="M64" i="18"/>
  <c r="K64" i="18"/>
  <c r="J64" i="18"/>
  <c r="B37" i="34"/>
  <c r="K37" i="34"/>
  <c r="B38" i="34"/>
  <c r="B39" i="34"/>
  <c r="K39" i="34"/>
  <c r="B40" i="34"/>
  <c r="K40" i="34"/>
  <c r="K41" i="34"/>
  <c r="B42" i="34"/>
  <c r="K42" i="34"/>
  <c r="B43" i="34"/>
  <c r="K43" i="34"/>
  <c r="B44" i="34"/>
  <c r="K44" i="34"/>
  <c r="B45" i="34"/>
  <c r="K45" i="34"/>
  <c r="B46" i="34"/>
  <c r="K46" i="34"/>
  <c r="K47" i="34"/>
  <c r="K48" i="34"/>
  <c r="B49" i="34"/>
  <c r="K49" i="34"/>
  <c r="B50" i="34"/>
  <c r="K50" i="34"/>
  <c r="B51" i="34"/>
  <c r="K51" i="34"/>
  <c r="B52" i="34"/>
  <c r="K52" i="34"/>
  <c r="B53" i="34"/>
  <c r="K53" i="34"/>
  <c r="K54" i="34"/>
  <c r="B55" i="34"/>
  <c r="K55" i="34"/>
  <c r="K56" i="34"/>
  <c r="B16" i="34"/>
  <c r="B17" i="34"/>
  <c r="B18" i="34"/>
  <c r="B19" i="34"/>
  <c r="B21" i="34"/>
  <c r="B22" i="34"/>
  <c r="B23" i="34"/>
  <c r="B24" i="34"/>
  <c r="B25" i="34"/>
  <c r="B28" i="34"/>
  <c r="K28" i="34"/>
  <c r="B9" i="34"/>
  <c r="C9" i="34"/>
  <c r="D9" i="34"/>
  <c r="I24" i="24"/>
  <c r="K24" i="24"/>
  <c r="H28" i="34" l="1"/>
  <c r="H55" i="34"/>
  <c r="G28" i="34"/>
  <c r="G55" i="34"/>
  <c r="L19" i="35"/>
  <c r="K19" i="35"/>
  <c r="F6" i="35" s="1"/>
  <c r="H25" i="34"/>
  <c r="H18" i="34"/>
  <c r="H19" i="34"/>
  <c r="H26" i="34"/>
  <c r="H16" i="34"/>
  <c r="H22" i="34"/>
  <c r="H27" i="34"/>
  <c r="H20" i="34"/>
  <c r="H21" i="34"/>
  <c r="H23" i="34"/>
  <c r="H17" i="34"/>
  <c r="H24" i="34"/>
  <c r="G20" i="34"/>
  <c r="G19" i="34"/>
  <c r="G16" i="34"/>
  <c r="G23" i="34"/>
  <c r="G25" i="34"/>
  <c r="G18" i="34"/>
  <c r="G22" i="34"/>
  <c r="G17" i="34"/>
  <c r="G27" i="34"/>
  <c r="G24" i="34"/>
  <c r="G26" i="34"/>
  <c r="G21" i="34"/>
  <c r="J19" i="35"/>
  <c r="E6" i="35" s="1"/>
  <c r="K61" i="18"/>
  <c r="M61" i="18"/>
  <c r="H43" i="34"/>
  <c r="H38" i="34"/>
  <c r="H39" i="34"/>
  <c r="H40" i="34"/>
  <c r="H41" i="34"/>
  <c r="H42" i="34"/>
  <c r="H44" i="34"/>
  <c r="H45" i="34"/>
  <c r="H46" i="34"/>
  <c r="H47" i="34"/>
  <c r="H48" i="34"/>
  <c r="H49" i="34"/>
  <c r="H50" i="34"/>
  <c r="H51" i="34"/>
  <c r="H52" i="34"/>
  <c r="H53" i="34"/>
  <c r="H54" i="34"/>
  <c r="H56" i="34"/>
  <c r="H37" i="34"/>
  <c r="G38" i="34"/>
  <c r="G39" i="34"/>
  <c r="G40" i="34"/>
  <c r="G41" i="34"/>
  <c r="G42" i="34"/>
  <c r="G43" i="34"/>
  <c r="G44" i="34"/>
  <c r="G45" i="34"/>
  <c r="G46" i="34"/>
  <c r="G47" i="34"/>
  <c r="G48" i="34"/>
  <c r="G49" i="34"/>
  <c r="G50" i="34"/>
  <c r="G51" i="34"/>
  <c r="G52" i="34"/>
  <c r="G53" i="34"/>
  <c r="G54" i="34"/>
  <c r="G56" i="34"/>
  <c r="G37" i="34"/>
  <c r="G66" i="34"/>
  <c r="P66" i="34" s="1"/>
  <c r="J61" i="18"/>
  <c r="O40" i="34" l="1"/>
  <c r="O55" i="34"/>
  <c r="P55" i="34"/>
  <c r="J55" i="34"/>
  <c r="Q28" i="34"/>
  <c r="P28" i="34"/>
  <c r="J28" i="34"/>
  <c r="O28" i="34"/>
  <c r="Q55" i="34"/>
  <c r="O38" i="34"/>
  <c r="Q23" i="34"/>
  <c r="O23" i="34"/>
  <c r="J23" i="34"/>
  <c r="P23" i="34"/>
  <c r="P16" i="34"/>
  <c r="J16" i="34"/>
  <c r="Q16" i="34"/>
  <c r="O16" i="34"/>
  <c r="J20" i="34"/>
  <c r="P20" i="34"/>
  <c r="Q20" i="34"/>
  <c r="O20" i="34"/>
  <c r="Q17" i="34"/>
  <c r="P17" i="34"/>
  <c r="J17" i="34"/>
  <c r="O17" i="34"/>
  <c r="O21" i="34"/>
  <c r="J21" i="34"/>
  <c r="P21" i="34"/>
  <c r="O26" i="34"/>
  <c r="J26" i="34"/>
  <c r="Q26" i="34"/>
  <c r="P26" i="34"/>
  <c r="O24" i="34"/>
  <c r="Q24" i="34"/>
  <c r="J24" i="34"/>
  <c r="P24" i="34"/>
  <c r="Q19" i="34"/>
  <c r="P19" i="34"/>
  <c r="J19" i="34"/>
  <c r="J27" i="34"/>
  <c r="P27" i="34"/>
  <c r="O27" i="34"/>
  <c r="Q27" i="34"/>
  <c r="O45" i="34"/>
  <c r="P52" i="34"/>
  <c r="J52" i="34"/>
  <c r="Q52" i="34"/>
  <c r="O52" i="34"/>
  <c r="P22" i="34"/>
  <c r="Q22" i="34"/>
  <c r="J22" i="34"/>
  <c r="O22" i="34"/>
  <c r="O19" i="34"/>
  <c r="Q51" i="34"/>
  <c r="P51" i="34"/>
  <c r="J51" i="34"/>
  <c r="O51" i="34"/>
  <c r="O43" i="34"/>
  <c r="J18" i="34"/>
  <c r="P18" i="34"/>
  <c r="O18" i="34"/>
  <c r="Q18" i="34"/>
  <c r="Q25" i="34"/>
  <c r="J25" i="34"/>
  <c r="P25" i="34"/>
  <c r="O25" i="34"/>
  <c r="Q21" i="34"/>
  <c r="J60" i="18"/>
  <c r="M60" i="18"/>
  <c r="I6" i="35"/>
  <c r="G6" i="35"/>
  <c r="Q37" i="34"/>
  <c r="P37" i="34"/>
  <c r="O37" i="34"/>
  <c r="R37" i="34" s="1"/>
  <c r="T37" i="34" s="1"/>
  <c r="J37" i="34"/>
  <c r="Q56" i="34"/>
  <c r="P56" i="34"/>
  <c r="O56" i="34"/>
  <c r="J56" i="34"/>
  <c r="Q54" i="34"/>
  <c r="P54" i="34"/>
  <c r="O54" i="34"/>
  <c r="J54" i="34"/>
  <c r="Q53" i="34"/>
  <c r="P53" i="34"/>
  <c r="O53" i="34"/>
  <c r="J53" i="34"/>
  <c r="Q50" i="34"/>
  <c r="P50" i="34"/>
  <c r="O50" i="34"/>
  <c r="J50" i="34"/>
  <c r="Q49" i="34"/>
  <c r="P49" i="34"/>
  <c r="O49" i="34"/>
  <c r="J49" i="34"/>
  <c r="Q48" i="34"/>
  <c r="P48" i="34"/>
  <c r="O48" i="34"/>
  <c r="J48" i="34"/>
  <c r="Q47" i="34"/>
  <c r="P47" i="34"/>
  <c r="O47" i="34"/>
  <c r="J47" i="34"/>
  <c r="Q46" i="34"/>
  <c r="P46" i="34"/>
  <c r="O46" i="34"/>
  <c r="J46" i="34"/>
  <c r="Q45" i="34"/>
  <c r="P45" i="34"/>
  <c r="J45" i="34"/>
  <c r="Q44" i="34"/>
  <c r="P44" i="34"/>
  <c r="O44" i="34"/>
  <c r="J44" i="34"/>
  <c r="Q43" i="34"/>
  <c r="P43" i="34"/>
  <c r="J43" i="34"/>
  <c r="Q42" i="34"/>
  <c r="P42" i="34"/>
  <c r="O42" i="34"/>
  <c r="J42" i="34"/>
  <c r="Q41" i="34"/>
  <c r="P41" i="34"/>
  <c r="O41" i="34"/>
  <c r="J41" i="34"/>
  <c r="Q40" i="34"/>
  <c r="P40" i="34"/>
  <c r="J40" i="34"/>
  <c r="Q39" i="34"/>
  <c r="P39" i="34"/>
  <c r="O39" i="34"/>
  <c r="J39" i="34"/>
  <c r="Q38" i="34"/>
  <c r="P38" i="34"/>
  <c r="J38" i="34"/>
  <c r="Q66" i="34"/>
  <c r="J66" i="34"/>
  <c r="O66" i="34"/>
  <c r="R23" i="34" l="1"/>
  <c r="T23" i="34" s="1"/>
  <c r="Y23" i="34" s="1"/>
  <c r="R24" i="34"/>
  <c r="T24" i="34" s="1"/>
  <c r="R53" i="34"/>
  <c r="T53" i="34" s="1"/>
  <c r="Y53" i="34" s="1"/>
  <c r="Y37" i="34"/>
  <c r="R55" i="34"/>
  <c r="T55" i="34" s="1"/>
  <c r="Y55" i="34" s="1"/>
  <c r="R17" i="34"/>
  <c r="T17" i="34" s="1"/>
  <c r="R28" i="34"/>
  <c r="T28" i="34" s="1"/>
  <c r="Y28" i="34" s="1"/>
  <c r="R41" i="34"/>
  <c r="T41" i="34" s="1"/>
  <c r="Y41" i="34" s="1"/>
  <c r="R26" i="34"/>
  <c r="T26" i="34" s="1"/>
  <c r="Y26" i="34" s="1"/>
  <c r="R16" i="34"/>
  <c r="T16" i="34" s="1"/>
  <c r="R19" i="34"/>
  <c r="T19" i="34" s="1"/>
  <c r="R42" i="34"/>
  <c r="T42" i="34" s="1"/>
  <c r="R40" i="34"/>
  <c r="T40" i="34" s="1"/>
  <c r="R52" i="34"/>
  <c r="T52" i="34" s="1"/>
  <c r="Y52" i="34" s="1"/>
  <c r="R48" i="34"/>
  <c r="T48" i="34" s="1"/>
  <c r="Y48" i="34" s="1"/>
  <c r="R39" i="34"/>
  <c r="T39" i="34" s="1"/>
  <c r="Y39" i="34" s="1"/>
  <c r="R54" i="34"/>
  <c r="T54" i="34" s="1"/>
  <c r="Y54" i="34" s="1"/>
  <c r="R51" i="34"/>
  <c r="T51" i="34" s="1"/>
  <c r="Y51" i="34" s="1"/>
  <c r="R50" i="34"/>
  <c r="T50" i="34" s="1"/>
  <c r="Y50" i="34" s="1"/>
  <c r="R22" i="34"/>
  <c r="T22" i="34" s="1"/>
  <c r="R21" i="34"/>
  <c r="T21" i="34" s="1"/>
  <c r="Y21" i="34" s="1"/>
  <c r="R38" i="34"/>
  <c r="T38" i="34" s="1"/>
  <c r="U37" i="34" s="1"/>
  <c r="R47" i="34"/>
  <c r="T47" i="34" s="1"/>
  <c r="R49" i="34"/>
  <c r="T49" i="34" s="1"/>
  <c r="Y49" i="34" s="1"/>
  <c r="R46" i="34"/>
  <c r="T46" i="34" s="1"/>
  <c r="Y45" i="34" s="1"/>
  <c r="R56" i="34"/>
  <c r="T56" i="34" s="1"/>
  <c r="Y56" i="34" s="1"/>
  <c r="R18" i="34"/>
  <c r="T18" i="34" s="1"/>
  <c r="Y18" i="34" s="1"/>
  <c r="R45" i="34"/>
  <c r="T45" i="34" s="1"/>
  <c r="R25" i="34"/>
  <c r="T25" i="34" s="1"/>
  <c r="Y24" i="34" s="1"/>
  <c r="R44" i="34"/>
  <c r="T44" i="34" s="1"/>
  <c r="Y44" i="34" s="1"/>
  <c r="R27" i="34"/>
  <c r="T27" i="34" s="1"/>
  <c r="Y27" i="34" s="1"/>
  <c r="R20" i="34"/>
  <c r="T20" i="34" s="1"/>
  <c r="Y20" i="34" s="1"/>
  <c r="R66" i="34"/>
  <c r="T66" i="34" s="1"/>
  <c r="R43" i="34"/>
  <c r="T43" i="34" s="1"/>
  <c r="Y16" i="34" l="1"/>
  <c r="Y30" i="34" s="1"/>
  <c r="Y31" i="34" s="1"/>
  <c r="Y42" i="34"/>
  <c r="Y66" i="34"/>
  <c r="Y47" i="34"/>
  <c r="U42" i="34"/>
  <c r="U21" i="34"/>
  <c r="U39" i="34"/>
  <c r="U45" i="34"/>
  <c r="U18" i="34"/>
  <c r="U16" i="34"/>
  <c r="U24" i="34"/>
  <c r="Y58" i="34" l="1"/>
  <c r="Y59" i="34" s="1"/>
  <c r="Y68" i="34"/>
  <c r="Y69" i="34" s="1"/>
  <c r="F18" i="15"/>
  <c r="D5" i="34" l="1"/>
  <c r="K47" i="18" s="1"/>
  <c r="T42" i="31"/>
  <c r="T43" i="31"/>
  <c r="N28" i="31"/>
  <c r="N29" i="31"/>
  <c r="N30" i="31"/>
  <c r="O31" i="31"/>
  <c r="T31" i="31" s="1"/>
  <c r="N32" i="31"/>
  <c r="N33" i="31"/>
  <c r="N34" i="31"/>
  <c r="N35" i="31"/>
  <c r="N36" i="31"/>
  <c r="N37" i="31"/>
  <c r="N38" i="31"/>
  <c r="N39" i="31"/>
  <c r="N40" i="31"/>
  <c r="N41" i="31"/>
  <c r="K28" i="31"/>
  <c r="K29" i="31"/>
  <c r="K30" i="31"/>
  <c r="L31" i="31"/>
  <c r="Q31" i="31" s="1"/>
  <c r="K32" i="31"/>
  <c r="K33" i="31"/>
  <c r="K34" i="31"/>
  <c r="K35" i="31"/>
  <c r="K36" i="31"/>
  <c r="K37" i="31"/>
  <c r="K38" i="31"/>
  <c r="K39" i="31"/>
  <c r="K40" i="31"/>
  <c r="K41" i="31"/>
  <c r="L27" i="31"/>
  <c r="C26" i="7"/>
  <c r="D26" i="7" s="1"/>
  <c r="C27" i="7"/>
  <c r="D27" i="7" s="1"/>
  <c r="C28" i="7"/>
  <c r="D28" i="7" s="1"/>
  <c r="E28" i="7" s="1"/>
  <c r="C29" i="7"/>
  <c r="C30" i="7"/>
  <c r="D30" i="7" s="1"/>
  <c r="C31" i="7"/>
  <c r="D31" i="7" s="1"/>
  <c r="C32" i="7"/>
  <c r="D32" i="7" s="1"/>
  <c r="E32" i="7" s="1"/>
  <c r="F32" i="7" s="1"/>
  <c r="C33" i="7"/>
  <c r="D33" i="7" s="1"/>
  <c r="E33" i="7" s="1"/>
  <c r="F33" i="7" s="1"/>
  <c r="C34" i="7"/>
  <c r="D34" i="7" s="1"/>
  <c r="C35" i="7"/>
  <c r="D35" i="7" s="1"/>
  <c r="C36" i="7"/>
  <c r="D36" i="7" s="1"/>
  <c r="E36" i="7" s="1"/>
  <c r="C37" i="7"/>
  <c r="D37" i="7" s="1"/>
  <c r="C38" i="7"/>
  <c r="D38" i="7" s="1"/>
  <c r="C39" i="7"/>
  <c r="D39" i="7" s="1"/>
  <c r="C40" i="7"/>
  <c r="D40" i="7" s="1"/>
  <c r="E40" i="7" s="1"/>
  <c r="F40" i="7" s="1"/>
  <c r="C41" i="7"/>
  <c r="D41" i="7" s="1"/>
  <c r="E41" i="7" s="1"/>
  <c r="F41" i="7" s="1"/>
  <c r="C42" i="7"/>
  <c r="D42" i="7" s="1"/>
  <c r="C43" i="7"/>
  <c r="D43" i="7" s="1"/>
  <c r="C44" i="7"/>
  <c r="D44" i="7" s="1"/>
  <c r="E44" i="7" s="1"/>
  <c r="C45" i="7"/>
  <c r="D45" i="7" s="1"/>
  <c r="C46" i="7"/>
  <c r="D46" i="7" s="1"/>
  <c r="C47" i="7"/>
  <c r="D47" i="7" s="1"/>
  <c r="C48" i="7"/>
  <c r="D48" i="7" s="1"/>
  <c r="E48" i="7" s="1"/>
  <c r="F48" i="7" s="1"/>
  <c r="C49" i="7"/>
  <c r="D49" i="7" s="1"/>
  <c r="E49" i="7" s="1"/>
  <c r="F49" i="7" s="1"/>
  <c r="C50" i="7"/>
  <c r="D50" i="7" s="1"/>
  <c r="C51" i="7"/>
  <c r="D51" i="7" s="1"/>
  <c r="C52" i="7"/>
  <c r="D52" i="7" s="1"/>
  <c r="E52" i="7" s="1"/>
  <c r="C53" i="7"/>
  <c r="D53" i="7" s="1"/>
  <c r="C54" i="7"/>
  <c r="D54" i="7" s="1"/>
  <c r="C55" i="7"/>
  <c r="D55" i="7" s="1"/>
  <c r="C56" i="7"/>
  <c r="D56" i="7" s="1"/>
  <c r="E56" i="7" s="1"/>
  <c r="F56" i="7" s="1"/>
  <c r="C57" i="7"/>
  <c r="D57" i="7" s="1"/>
  <c r="E57" i="7" s="1"/>
  <c r="F57" i="7" s="1"/>
  <c r="C58" i="7"/>
  <c r="D58" i="7" s="1"/>
  <c r="C59" i="7"/>
  <c r="D59" i="7" s="1"/>
  <c r="C60" i="7"/>
  <c r="D60" i="7" s="1"/>
  <c r="E60" i="7" s="1"/>
  <c r="C61" i="7"/>
  <c r="D61" i="7" s="1"/>
  <c r="E61" i="7" s="1"/>
  <c r="C62" i="7"/>
  <c r="D62" i="7" s="1"/>
  <c r="C63" i="7"/>
  <c r="D63" i="7" s="1"/>
  <c r="C64" i="7"/>
  <c r="D64" i="7" s="1"/>
  <c r="E64" i="7" s="1"/>
  <c r="F64" i="7" s="1"/>
  <c r="C65" i="7"/>
  <c r="D65" i="7" s="1"/>
  <c r="E65" i="7" s="1"/>
  <c r="F65" i="7" s="1"/>
  <c r="C25" i="7"/>
  <c r="D25" i="7" s="1"/>
  <c r="D35" i="15"/>
  <c r="D34" i="15"/>
  <c r="D33" i="15"/>
  <c r="D32" i="15"/>
  <c r="D36" i="15" s="1"/>
  <c r="B6" i="15" s="1"/>
  <c r="D31" i="15"/>
  <c r="D30" i="15"/>
  <c r="C25" i="17"/>
  <c r="C14" i="33"/>
  <c r="F21" i="15"/>
  <c r="E20" i="10"/>
  <c r="N21" i="10"/>
  <c r="N22" i="10"/>
  <c r="N23" i="10"/>
  <c r="N20" i="10"/>
  <c r="K21" i="10"/>
  <c r="K22" i="10"/>
  <c r="K23" i="10"/>
  <c r="K20" i="10"/>
  <c r="H21" i="10"/>
  <c r="H22" i="10"/>
  <c r="H23" i="10"/>
  <c r="H20" i="10"/>
  <c r="E21" i="10"/>
  <c r="E23" i="10"/>
  <c r="B10" i="33"/>
  <c r="C10" i="33"/>
  <c r="D10" i="33"/>
  <c r="H9" i="20"/>
  <c r="I9" i="20"/>
  <c r="G9" i="20"/>
  <c r="C11" i="6"/>
  <c r="D11" i="6"/>
  <c r="B11" i="6"/>
  <c r="G12" i="5"/>
  <c r="H12" i="5"/>
  <c r="F12" i="5"/>
  <c r="I10" i="17" l="1"/>
  <c r="J10" i="17" s="1"/>
  <c r="E10" i="17"/>
  <c r="F10" i="17" s="1"/>
  <c r="J47" i="18"/>
  <c r="M47" i="18"/>
  <c r="D29" i="7"/>
  <c r="C16" i="7"/>
  <c r="D16" i="7" s="1"/>
  <c r="R31" i="31"/>
  <c r="N42" i="31"/>
  <c r="K42" i="31"/>
  <c r="N43" i="31"/>
  <c r="K43" i="31"/>
  <c r="R43" i="31" s="1"/>
  <c r="G10" i="17"/>
  <c r="H10" i="17" s="1"/>
  <c r="L41" i="31"/>
  <c r="Q41" i="31" s="1"/>
  <c r="L40" i="31"/>
  <c r="Q40" i="31" s="1"/>
  <c r="L39" i="31"/>
  <c r="Q39" i="31" s="1"/>
  <c r="L38" i="31"/>
  <c r="Q38" i="31" s="1"/>
  <c r="L37" i="31"/>
  <c r="Q37" i="31" s="1"/>
  <c r="L36" i="31"/>
  <c r="Q36" i="31" s="1"/>
  <c r="L35" i="31"/>
  <c r="Q35" i="31" s="1"/>
  <c r="L34" i="31"/>
  <c r="Q34" i="31" s="1"/>
  <c r="L32" i="31"/>
  <c r="Q32" i="31" s="1"/>
  <c r="L30" i="31"/>
  <c r="Q30" i="31" s="1"/>
  <c r="L29" i="31"/>
  <c r="L28" i="31"/>
  <c r="O41" i="31"/>
  <c r="T41" i="31" s="1"/>
  <c r="O40" i="31"/>
  <c r="T40" i="31" s="1"/>
  <c r="O39" i="31"/>
  <c r="T39" i="31" s="1"/>
  <c r="O38" i="31"/>
  <c r="T38" i="31" s="1"/>
  <c r="O37" i="31"/>
  <c r="T37" i="31" s="1"/>
  <c r="O36" i="31"/>
  <c r="T36" i="31" s="1"/>
  <c r="O35" i="31"/>
  <c r="T35" i="31" s="1"/>
  <c r="O34" i="31"/>
  <c r="T34" i="31" s="1"/>
  <c r="O33" i="31"/>
  <c r="T33" i="31" s="1"/>
  <c r="O32" i="31"/>
  <c r="T32" i="31" s="1"/>
  <c r="O30" i="31"/>
  <c r="T30" i="31" s="1"/>
  <c r="O29" i="31"/>
  <c r="O28" i="31"/>
  <c r="U31" i="31"/>
  <c r="L33" i="31"/>
  <c r="Q33" i="31" s="1"/>
  <c r="R33" i="31" s="1"/>
  <c r="G65" i="7"/>
  <c r="H65" i="7" s="1"/>
  <c r="G41" i="7"/>
  <c r="H41" i="7" s="1"/>
  <c r="G64" i="7"/>
  <c r="H64" i="7" s="1"/>
  <c r="G49" i="7"/>
  <c r="H49" i="7" s="1"/>
  <c r="G56" i="7"/>
  <c r="H56" i="7" s="1"/>
  <c r="G57" i="7"/>
  <c r="H57" i="7" s="1"/>
  <c r="G33" i="7"/>
  <c r="H33" i="7"/>
  <c r="F63" i="7"/>
  <c r="F55" i="7"/>
  <c r="G48" i="7"/>
  <c r="H48" i="7" s="1"/>
  <c r="G40" i="7"/>
  <c r="H40" i="7" s="1"/>
  <c r="G32" i="7"/>
  <c r="H32" i="7" s="1"/>
  <c r="E55" i="7"/>
  <c r="E31" i="7"/>
  <c r="F31" i="7" s="1"/>
  <c r="E54" i="7"/>
  <c r="F54" i="7" s="1"/>
  <c r="E30" i="7"/>
  <c r="F30" i="7" s="1"/>
  <c r="E45" i="7"/>
  <c r="F45" i="7" s="1"/>
  <c r="E59" i="7"/>
  <c r="F59" i="7" s="1"/>
  <c r="E51" i="7"/>
  <c r="F51" i="7" s="1"/>
  <c r="E43" i="7"/>
  <c r="F43" i="7" s="1"/>
  <c r="E35" i="7"/>
  <c r="F35" i="7" s="1"/>
  <c r="E27" i="7"/>
  <c r="F27" i="7" s="1"/>
  <c r="F60" i="7"/>
  <c r="F52" i="7"/>
  <c r="F44" i="7"/>
  <c r="F36" i="7"/>
  <c r="F28" i="7"/>
  <c r="E63" i="7"/>
  <c r="E39" i="7"/>
  <c r="F39" i="7" s="1"/>
  <c r="E46" i="7"/>
  <c r="F46" i="7" s="1"/>
  <c r="E53" i="7"/>
  <c r="F53" i="7" s="1"/>
  <c r="E29" i="7"/>
  <c r="F61" i="7"/>
  <c r="E25" i="7"/>
  <c r="F25" i="7" s="1"/>
  <c r="E58" i="7"/>
  <c r="F58" i="7" s="1"/>
  <c r="E50" i="7"/>
  <c r="F50" i="7" s="1"/>
  <c r="E42" i="7"/>
  <c r="F42" i="7" s="1"/>
  <c r="E34" i="7"/>
  <c r="F34" i="7" s="1"/>
  <c r="E26" i="7"/>
  <c r="E47" i="7"/>
  <c r="F47" i="7" s="1"/>
  <c r="E62" i="7"/>
  <c r="F62" i="7" s="1"/>
  <c r="E38" i="7"/>
  <c r="F38" i="7" s="1"/>
  <c r="E37" i="7"/>
  <c r="F37" i="7" s="1"/>
  <c r="O21" i="10"/>
  <c r="O20" i="10"/>
  <c r="O23" i="10"/>
  <c r="O22" i="10"/>
  <c r="F14" i="33"/>
  <c r="D14" i="33"/>
  <c r="E14" i="33" s="1"/>
  <c r="C17" i="7" l="1"/>
  <c r="D17" i="7" s="1"/>
  <c r="F26" i="7"/>
  <c r="U33" i="31"/>
  <c r="U37" i="31"/>
  <c r="U41" i="31"/>
  <c r="R30" i="31"/>
  <c r="U43" i="31"/>
  <c r="U34" i="31"/>
  <c r="U38" i="31"/>
  <c r="R32" i="31"/>
  <c r="R37" i="31"/>
  <c r="U42" i="31"/>
  <c r="R36" i="31"/>
  <c r="R41" i="31"/>
  <c r="U32" i="31"/>
  <c r="U36" i="31"/>
  <c r="U40" i="31"/>
  <c r="R35" i="31"/>
  <c r="R39" i="31"/>
  <c r="R40" i="31"/>
  <c r="U30" i="31"/>
  <c r="U35" i="31"/>
  <c r="U39" i="31"/>
  <c r="R34" i="31"/>
  <c r="R38" i="31"/>
  <c r="I49" i="7"/>
  <c r="J49" i="7" s="1"/>
  <c r="I33" i="7"/>
  <c r="J33" i="7" s="1"/>
  <c r="I40" i="7"/>
  <c r="J40" i="7" s="1"/>
  <c r="I57" i="7"/>
  <c r="J57" i="7"/>
  <c r="I64" i="7"/>
  <c r="J64" i="7" s="1"/>
  <c r="I65" i="7"/>
  <c r="J65" i="7" s="1"/>
  <c r="I56" i="7"/>
  <c r="J56" i="7" s="1"/>
  <c r="I32" i="7"/>
  <c r="J32" i="7"/>
  <c r="I41" i="7"/>
  <c r="J41" i="7" s="1"/>
  <c r="I48" i="7"/>
  <c r="J48" i="7" s="1"/>
  <c r="G46" i="7"/>
  <c r="H46" i="7" s="1"/>
  <c r="G34" i="7"/>
  <c r="H34" i="7" s="1"/>
  <c r="G27" i="7"/>
  <c r="H27" i="7" s="1"/>
  <c r="G39" i="7"/>
  <c r="H39" i="7" s="1"/>
  <c r="G43" i="7"/>
  <c r="H43" i="7" s="1"/>
  <c r="G54" i="7"/>
  <c r="H54" i="7" s="1"/>
  <c r="G31" i="7"/>
  <c r="H31" i="7" s="1"/>
  <c r="G35" i="7"/>
  <c r="H35" i="7"/>
  <c r="G37" i="7"/>
  <c r="H37" i="7" s="1"/>
  <c r="G58" i="7"/>
  <c r="H58" i="7" s="1"/>
  <c r="G51" i="7"/>
  <c r="H51" i="7" s="1"/>
  <c r="G62" i="7"/>
  <c r="H62" i="7"/>
  <c r="G59" i="7"/>
  <c r="H59" i="7" s="1"/>
  <c r="G45" i="7"/>
  <c r="H45" i="7" s="1"/>
  <c r="G53" i="7"/>
  <c r="H53" i="7" s="1"/>
  <c r="G30" i="7"/>
  <c r="H30" i="7" s="1"/>
  <c r="G47" i="7"/>
  <c r="H47" i="7" s="1"/>
  <c r="G63" i="7"/>
  <c r="H63" i="7" s="1"/>
  <c r="G38" i="7"/>
  <c r="H38" i="7" s="1"/>
  <c r="G26" i="7"/>
  <c r="H26" i="7" s="1"/>
  <c r="G28" i="7"/>
  <c r="G42" i="7"/>
  <c r="H42" i="7" s="1"/>
  <c r="G55" i="7"/>
  <c r="H55" i="7" s="1"/>
  <c r="H12" i="7"/>
  <c r="D5" i="7" s="1"/>
  <c r="K36" i="18" s="1"/>
  <c r="G60" i="7"/>
  <c r="H60" i="7" s="1"/>
  <c r="G50" i="7"/>
  <c r="H50" i="7" s="1"/>
  <c r="G25" i="7"/>
  <c r="H25" i="7" s="1"/>
  <c r="G61" i="7"/>
  <c r="H61" i="7" s="1"/>
  <c r="G36" i="7"/>
  <c r="H36" i="7" s="1"/>
  <c r="G44" i="7"/>
  <c r="H44" i="7" s="1"/>
  <c r="G52" i="7"/>
  <c r="H52" i="7" s="1"/>
  <c r="F29" i="7"/>
  <c r="G14" i="33"/>
  <c r="H14" i="33" s="1"/>
  <c r="C31" i="17"/>
  <c r="B5" i="17" s="1"/>
  <c r="B16" i="17"/>
  <c r="K64" i="7" l="1"/>
  <c r="L64" i="7" s="1"/>
  <c r="K49" i="7"/>
  <c r="L49" i="7" s="1"/>
  <c r="K48" i="7"/>
  <c r="L48" i="7" s="1"/>
  <c r="K41" i="7"/>
  <c r="L41" i="7" s="1"/>
  <c r="K40" i="7"/>
  <c r="L40" i="7"/>
  <c r="K56" i="7"/>
  <c r="L56" i="7" s="1"/>
  <c r="K57" i="7"/>
  <c r="L57" i="7" s="1"/>
  <c r="K32" i="7"/>
  <c r="L32" i="7" s="1"/>
  <c r="K65" i="7"/>
  <c r="L65" i="7"/>
  <c r="K33" i="7"/>
  <c r="L33" i="7" s="1"/>
  <c r="H28" i="7"/>
  <c r="I28" i="7" s="1"/>
  <c r="D5" i="33"/>
  <c r="J37" i="18"/>
  <c r="I11" i="17"/>
  <c r="J11" i="17" s="1"/>
  <c r="G11" i="17"/>
  <c r="H11" i="17" s="1"/>
  <c r="E11" i="17"/>
  <c r="I60" i="7"/>
  <c r="J60" i="7" s="1"/>
  <c r="I54" i="7"/>
  <c r="J54" i="7"/>
  <c r="I51" i="7"/>
  <c r="J51" i="7" s="1"/>
  <c r="I26" i="7"/>
  <c r="J26" i="7" s="1"/>
  <c r="I50" i="7"/>
  <c r="J50" i="7" s="1"/>
  <c r="I45" i="7"/>
  <c r="J45" i="7" s="1"/>
  <c r="I35" i="7"/>
  <c r="J35" i="7" s="1"/>
  <c r="I59" i="7"/>
  <c r="J59" i="7" s="1"/>
  <c r="I34" i="7"/>
  <c r="J34" i="7" s="1"/>
  <c r="I52" i="7"/>
  <c r="J52" i="7" s="1"/>
  <c r="I31" i="7"/>
  <c r="J31" i="7" s="1"/>
  <c r="I63" i="7"/>
  <c r="J63" i="7" s="1"/>
  <c r="I46" i="7"/>
  <c r="J46" i="7"/>
  <c r="I27" i="7"/>
  <c r="J27" i="7" s="1"/>
  <c r="I38" i="7"/>
  <c r="J38" i="7"/>
  <c r="I62" i="7"/>
  <c r="J62" i="7" s="1"/>
  <c r="I44" i="7"/>
  <c r="J44" i="7" s="1"/>
  <c r="I55" i="7"/>
  <c r="J55" i="7" s="1"/>
  <c r="I47" i="7"/>
  <c r="J47" i="7" s="1"/>
  <c r="I36" i="7"/>
  <c r="J36" i="7" s="1"/>
  <c r="I42" i="7"/>
  <c r="J42" i="7" s="1"/>
  <c r="I30" i="7"/>
  <c r="J30" i="7"/>
  <c r="I61" i="7"/>
  <c r="J61" i="7" s="1"/>
  <c r="I58" i="7"/>
  <c r="J58" i="7" s="1"/>
  <c r="I43" i="7"/>
  <c r="J43" i="7" s="1"/>
  <c r="I25" i="7"/>
  <c r="J25" i="7" s="1"/>
  <c r="I53" i="7"/>
  <c r="J53" i="7" s="1"/>
  <c r="I37" i="7"/>
  <c r="J37" i="7" s="1"/>
  <c r="I39" i="7"/>
  <c r="J39" i="7" s="1"/>
  <c r="G29" i="7"/>
  <c r="J28" i="7" l="1"/>
  <c r="K39" i="7"/>
  <c r="L39" i="7" s="1"/>
  <c r="K38" i="7"/>
  <c r="L38" i="7" s="1"/>
  <c r="K37" i="7"/>
  <c r="L37" i="7" s="1"/>
  <c r="K53" i="7"/>
  <c r="L53" i="7" s="1"/>
  <c r="K60" i="7"/>
  <c r="L60" i="7" s="1"/>
  <c r="K35" i="7"/>
  <c r="L35" i="7"/>
  <c r="K27" i="7"/>
  <c r="L27" i="7"/>
  <c r="K46" i="7"/>
  <c r="L46" i="7" s="1"/>
  <c r="K43" i="7"/>
  <c r="L43" i="7"/>
  <c r="K47" i="7"/>
  <c r="L47" i="7"/>
  <c r="K45" i="7"/>
  <c r="L45" i="7" s="1"/>
  <c r="K30" i="7"/>
  <c r="L30" i="7" s="1"/>
  <c r="K34" i="7"/>
  <c r="L34" i="7" s="1"/>
  <c r="K59" i="7"/>
  <c r="L59" i="7"/>
  <c r="K36" i="7"/>
  <c r="L36" i="7" s="1"/>
  <c r="K58" i="7"/>
  <c r="L58" i="7" s="1"/>
  <c r="K55" i="7"/>
  <c r="L55" i="7"/>
  <c r="K63" i="7"/>
  <c r="L63" i="7"/>
  <c r="K50" i="7"/>
  <c r="L50" i="7" s="1"/>
  <c r="K52" i="7"/>
  <c r="L52" i="7" s="1"/>
  <c r="K54" i="7"/>
  <c r="L54" i="7" s="1"/>
  <c r="K42" i="7"/>
  <c r="L42" i="7" s="1"/>
  <c r="K25" i="7"/>
  <c r="L25" i="7" s="1"/>
  <c r="C18" i="7"/>
  <c r="D18" i="7" s="1"/>
  <c r="K44" i="7"/>
  <c r="L44" i="7" s="1"/>
  <c r="K31" i="7"/>
  <c r="L31" i="7"/>
  <c r="K26" i="7"/>
  <c r="L26" i="7" s="1"/>
  <c r="K61" i="7"/>
  <c r="L61" i="7" s="1"/>
  <c r="K62" i="7"/>
  <c r="L62" i="7" s="1"/>
  <c r="K51" i="7"/>
  <c r="L51" i="7"/>
  <c r="K37" i="18"/>
  <c r="E5" i="33"/>
  <c r="M37" i="18" s="1"/>
  <c r="D5" i="17"/>
  <c r="K33" i="18" s="1"/>
  <c r="H12" i="17"/>
  <c r="J12" i="17"/>
  <c r="E5" i="17"/>
  <c r="M33" i="18" s="1"/>
  <c r="H29" i="7"/>
  <c r="J12" i="7" l="1"/>
  <c r="E5" i="7" s="1"/>
  <c r="M36" i="18" s="1"/>
  <c r="K28" i="7"/>
  <c r="L28" i="7" s="1"/>
  <c r="I29" i="7"/>
  <c r="J29" i="7" l="1"/>
  <c r="C19" i="7"/>
  <c r="G21" i="5"/>
  <c r="F21" i="5"/>
  <c r="K29" i="7" l="1"/>
  <c r="C20" i="7" s="1"/>
  <c r="D19" i="7"/>
  <c r="G20" i="5"/>
  <c r="F20" i="5"/>
  <c r="L29" i="7" l="1"/>
  <c r="N12" i="7"/>
  <c r="D20" i="7"/>
  <c r="J19" i="5"/>
  <c r="J20" i="5"/>
  <c r="J21" i="5"/>
  <c r="F19" i="5"/>
  <c r="G19" i="5"/>
  <c r="N21" i="5" l="1"/>
  <c r="I21" i="5"/>
  <c r="O21" i="5"/>
  <c r="P21" i="5"/>
  <c r="O20" i="5"/>
  <c r="N20" i="5"/>
  <c r="P20" i="5"/>
  <c r="I20" i="5"/>
  <c r="N19" i="5"/>
  <c r="I19" i="5"/>
  <c r="O19" i="5"/>
  <c r="P19" i="5"/>
  <c r="F28" i="5"/>
  <c r="F29" i="5"/>
  <c r="F30" i="5"/>
  <c r="F26" i="5"/>
  <c r="F27" i="5"/>
  <c r="B26" i="5"/>
  <c r="J17" i="5"/>
  <c r="F17" i="5"/>
  <c r="G17" i="5"/>
  <c r="G18" i="5"/>
  <c r="F18" i="5"/>
  <c r="O18" i="5" l="1"/>
  <c r="I18" i="5"/>
  <c r="N18" i="5"/>
  <c r="P18" i="5"/>
  <c r="P17" i="5"/>
  <c r="O17" i="5"/>
  <c r="N17" i="5"/>
  <c r="I17" i="5"/>
  <c r="Q21" i="5"/>
  <c r="S21" i="5" s="1"/>
  <c r="E30" i="5" s="1"/>
  <c r="H30" i="5" s="1"/>
  <c r="Q20" i="5"/>
  <c r="S20" i="5" s="1"/>
  <c r="E29" i="5" s="1"/>
  <c r="H29" i="5" s="1"/>
  <c r="Q19" i="5"/>
  <c r="S19" i="5" s="1"/>
  <c r="E28" i="5" s="1"/>
  <c r="H28" i="5" s="1"/>
  <c r="Q17" i="5" l="1"/>
  <c r="S17" i="5" s="1"/>
  <c r="E26" i="5" s="1"/>
  <c r="H26" i="5" s="1"/>
  <c r="O26" i="5"/>
  <c r="M26" i="5"/>
  <c r="I26" i="5"/>
  <c r="I29" i="5"/>
  <c r="O29" i="5"/>
  <c r="M29" i="5"/>
  <c r="I28" i="5"/>
  <c r="M28" i="5"/>
  <c r="O28" i="5"/>
  <c r="I30" i="5"/>
  <c r="O30" i="5"/>
  <c r="M30" i="5"/>
  <c r="A30" i="5"/>
  <c r="A29" i="5"/>
  <c r="A28" i="5"/>
  <c r="A21" i="5"/>
  <c r="A20" i="5"/>
  <c r="A19" i="5"/>
  <c r="A26" i="5"/>
  <c r="A17" i="5"/>
  <c r="A18" i="5"/>
  <c r="F11" i="17" l="1"/>
  <c r="F12" i="17" s="1"/>
  <c r="C5" i="17" l="1"/>
  <c r="J33" i="18" s="1"/>
  <c r="F23" i="24" l="1"/>
  <c r="AC17" i="24"/>
  <c r="J17" i="24"/>
  <c r="V17" i="24" s="1"/>
  <c r="H12" i="24"/>
  <c r="H17" i="24" s="1"/>
  <c r="G12" i="24"/>
  <c r="G17" i="24" s="1"/>
  <c r="F12" i="24"/>
  <c r="F17" i="24" s="1"/>
  <c r="G16" i="20"/>
  <c r="J16" i="20"/>
  <c r="V16" i="20" s="1"/>
  <c r="J15" i="20"/>
  <c r="V15" i="20" s="1"/>
  <c r="G15" i="20"/>
  <c r="G22" i="15"/>
  <c r="G20" i="15"/>
  <c r="G19" i="15"/>
  <c r="G18" i="15"/>
  <c r="G21" i="15" s="1"/>
  <c r="F22" i="15"/>
  <c r="F20" i="15"/>
  <c r="F19" i="15"/>
  <c r="E11" i="15"/>
  <c r="Q27" i="11"/>
  <c r="A27" i="5"/>
  <c r="J18" i="5"/>
  <c r="Q18" i="5" s="1"/>
  <c r="S18" i="5" s="1"/>
  <c r="D12" i="7"/>
  <c r="H16" i="6"/>
  <c r="G16" i="6"/>
  <c r="F16" i="6"/>
  <c r="I16" i="6" s="1"/>
  <c r="J16" i="6"/>
  <c r="T17" i="31" l="1"/>
  <c r="T19" i="31"/>
  <c r="H18" i="15"/>
  <c r="K18" i="15" s="1"/>
  <c r="N18" i="15" s="1"/>
  <c r="P17" i="24"/>
  <c r="Z17" i="24" s="1"/>
  <c r="O17" i="24"/>
  <c r="Y17" i="24" s="1"/>
  <c r="T17" i="24"/>
  <c r="I17" i="24"/>
  <c r="U17" i="24" s="1"/>
  <c r="N17" i="24"/>
  <c r="X17" i="24" s="1"/>
  <c r="H22" i="15"/>
  <c r="K22" i="15" s="1"/>
  <c r="H20" i="15"/>
  <c r="K20" i="15" s="1"/>
  <c r="H21" i="15"/>
  <c r="K21" i="15" s="1"/>
  <c r="H19" i="15"/>
  <c r="Q28" i="11"/>
  <c r="D6" i="11" s="1"/>
  <c r="K81" i="18" s="1"/>
  <c r="M81" i="18" s="1"/>
  <c r="P28" i="11"/>
  <c r="C6" i="11" s="1"/>
  <c r="J81" i="18" s="1"/>
  <c r="P16" i="6"/>
  <c r="O16" i="6"/>
  <c r="N16" i="6"/>
  <c r="M18" i="15" l="1"/>
  <c r="V19" i="31"/>
  <c r="F29" i="31"/>
  <c r="V17" i="31"/>
  <c r="F28" i="31"/>
  <c r="J82" i="18"/>
  <c r="K82" i="18"/>
  <c r="L18" i="15"/>
  <c r="M20" i="15"/>
  <c r="N20" i="15"/>
  <c r="L20" i="15"/>
  <c r="N22" i="15"/>
  <c r="M22" i="15"/>
  <c r="L22" i="15"/>
  <c r="C7" i="15" s="1"/>
  <c r="J54" i="18" s="1"/>
  <c r="N21" i="15"/>
  <c r="M21" i="15"/>
  <c r="L21" i="15"/>
  <c r="Q16" i="6"/>
  <c r="E27" i="5"/>
  <c r="H27" i="5" s="1"/>
  <c r="AB17" i="24"/>
  <c r="AD17" i="24" s="1"/>
  <c r="Q17" i="24"/>
  <c r="S17" i="24" s="1"/>
  <c r="K19" i="15"/>
  <c r="S28" i="31" l="1"/>
  <c r="P28" i="31"/>
  <c r="S29" i="31"/>
  <c r="U29" i="31" s="1"/>
  <c r="P29" i="31"/>
  <c r="D7" i="15"/>
  <c r="K54" i="18" s="1"/>
  <c r="E7" i="15"/>
  <c r="M54" i="18" s="1"/>
  <c r="W29" i="31"/>
  <c r="T28" i="31"/>
  <c r="Q28" i="31"/>
  <c r="Q29" i="31"/>
  <c r="T29" i="31"/>
  <c r="L19" i="15"/>
  <c r="C6" i="15" s="1"/>
  <c r="J53" i="18" s="1"/>
  <c r="J46" i="18" s="1"/>
  <c r="M19" i="15"/>
  <c r="M23" i="15" s="1"/>
  <c r="N19" i="15"/>
  <c r="M53" i="18" s="1"/>
  <c r="S16" i="6"/>
  <c r="C22" i="6" s="1"/>
  <c r="H22" i="6" s="1"/>
  <c r="M27" i="5"/>
  <c r="O27" i="5"/>
  <c r="I27" i="5"/>
  <c r="I31" i="5" s="1"/>
  <c r="D23" i="24"/>
  <c r="E23" i="24" s="1"/>
  <c r="H23" i="24" s="1"/>
  <c r="D24" i="24"/>
  <c r="E24" i="24" s="1"/>
  <c r="K23" i="15"/>
  <c r="M46" i="18" l="1"/>
  <c r="N23" i="15"/>
  <c r="D6" i="15"/>
  <c r="K53" i="18" s="1"/>
  <c r="L23" i="15"/>
  <c r="U28" i="31"/>
  <c r="R28" i="31"/>
  <c r="R29" i="31"/>
  <c r="H55" i="31"/>
  <c r="T15" i="31"/>
  <c r="P23" i="24"/>
  <c r="N23" i="24"/>
  <c r="P24" i="24"/>
  <c r="N24" i="24"/>
  <c r="C6" i="6"/>
  <c r="O31" i="5"/>
  <c r="C6" i="5"/>
  <c r="J38" i="18" s="1"/>
  <c r="C7" i="5"/>
  <c r="M31" i="5"/>
  <c r="D6" i="5"/>
  <c r="K46" i="18" l="1"/>
  <c r="D6" i="6"/>
  <c r="J42" i="18"/>
  <c r="D7" i="5"/>
  <c r="J39" i="18"/>
  <c r="V15" i="31"/>
  <c r="F27" i="31"/>
  <c r="K39" i="18"/>
  <c r="M39" i="18"/>
  <c r="M38" i="18"/>
  <c r="K38" i="18"/>
  <c r="N25" i="24"/>
  <c r="D7" i="24" s="1"/>
  <c r="P25" i="24"/>
  <c r="D6" i="24" s="1"/>
  <c r="M42" i="18" l="1"/>
  <c r="K42" i="18"/>
  <c r="E6" i="24"/>
  <c r="J43" i="18"/>
  <c r="E7" i="24"/>
  <c r="J44" i="18"/>
  <c r="J30" i="18" s="1"/>
  <c r="W28" i="31"/>
  <c r="T27" i="31"/>
  <c r="T44" i="31" s="1"/>
  <c r="E5" i="31" s="1"/>
  <c r="K17" i="18" s="1"/>
  <c r="Q44" i="31"/>
  <c r="F16" i="20"/>
  <c r="P16" i="20" s="1"/>
  <c r="Z16" i="20" s="1"/>
  <c r="F15" i="20"/>
  <c r="I15" i="20" s="1"/>
  <c r="U15" i="20" s="1"/>
  <c r="J17" i="18" l="1"/>
  <c r="D5" i="31"/>
  <c r="H56" i="31"/>
  <c r="U27" i="31"/>
  <c r="U44" i="31" s="1"/>
  <c r="E6" i="31"/>
  <c r="K77" i="18" s="1"/>
  <c r="R27" i="31"/>
  <c r="R44" i="31" s="1"/>
  <c r="P44" i="31"/>
  <c r="O16" i="20"/>
  <c r="Y16" i="20" s="1"/>
  <c r="N15" i="20"/>
  <c r="X15" i="20" s="1"/>
  <c r="P15" i="20"/>
  <c r="Z15" i="20" s="1"/>
  <c r="O15" i="20"/>
  <c r="Y15" i="20" s="1"/>
  <c r="T16" i="20"/>
  <c r="T15" i="20"/>
  <c r="I16" i="20"/>
  <c r="U16" i="20" s="1"/>
  <c r="N16" i="20"/>
  <c r="X16" i="20" s="1"/>
  <c r="J16" i="18" l="1"/>
  <c r="D6" i="31"/>
  <c r="K16" i="18"/>
  <c r="K70" i="18"/>
  <c r="K29" i="18" s="1"/>
  <c r="AB15" i="20"/>
  <c r="AD15" i="20" s="1"/>
  <c r="Q15" i="20"/>
  <c r="D21" i="20" s="1"/>
  <c r="AB16" i="20"/>
  <c r="AD16" i="20" s="1"/>
  <c r="Q16" i="20"/>
  <c r="S15" i="20" l="1"/>
  <c r="J21" i="20"/>
  <c r="N21" i="20"/>
  <c r="S16" i="20"/>
  <c r="D22" i="20"/>
  <c r="J22" i="20" l="1"/>
  <c r="J23" i="20" s="1"/>
  <c r="D5" i="20" s="1"/>
  <c r="J78" i="18" s="1"/>
  <c r="N22" i="20"/>
  <c r="E5" i="20"/>
  <c r="F24" i="24"/>
  <c r="H24" i="24" s="1"/>
  <c r="K44" i="18" l="1"/>
  <c r="M44" i="18"/>
  <c r="M78" i="18"/>
  <c r="K78" i="18"/>
  <c r="F25" i="24"/>
  <c r="M43" i="18" l="1"/>
  <c r="K43" i="18"/>
  <c r="M30" i="18" l="1"/>
  <c r="K10" i="18"/>
  <c r="K7" i="18" l="1"/>
  <c r="K6" i="18"/>
  <c r="K9" i="18"/>
  <c r="J10" i="18"/>
  <c r="J70" i="18"/>
  <c r="J29" i="18" s="1"/>
  <c r="J9" i="18" l="1"/>
  <c r="J7" i="18"/>
  <c r="M10" i="18"/>
  <c r="M70" i="18"/>
  <c r="M29" i="18" s="1"/>
  <c r="M9" i="18" l="1"/>
  <c r="M7" i="18"/>
  <c r="M6" i="18"/>
</calcChain>
</file>

<file path=xl/sharedStrings.xml><?xml version="1.0" encoding="utf-8"?>
<sst xmlns="http://schemas.openxmlformats.org/spreadsheetml/2006/main" count="2610" uniqueCount="1019">
  <si>
    <t>Nr.p.k.</t>
  </si>
  <si>
    <t>Pasākums</t>
  </si>
  <si>
    <t>Darbības rezultāts</t>
  </si>
  <si>
    <t>Rezultatīvais rādītājs</t>
  </si>
  <si>
    <t>Budžeta programmas (apakšprogrammas kods un nosaukums)</t>
  </si>
  <si>
    <t>Uzdevumu īstenošanai plānotais finansējums atbilstoši likumam "Par valsts budžetu 2025.gadam un budžeta ietvaru 2025., 2026. un 2027.gadam"</t>
  </si>
  <si>
    <t>Nepieciešamais papildu finansējums</t>
  </si>
  <si>
    <t>Atbildīgā institūcija</t>
  </si>
  <si>
    <t>Līdzatbildīgās institūcijas</t>
  </si>
  <si>
    <t>Finansējuma avots</t>
  </si>
  <si>
    <t>Termiņš</t>
  </si>
  <si>
    <t>2025.gads</t>
  </si>
  <si>
    <t>2026.gads</t>
  </si>
  <si>
    <t>2027.gads</t>
  </si>
  <si>
    <t>Turpmākajā laikposmā līdz pasākuma pabeigšanai (ja pasākuma īstenošana ir terminēta)</t>
  </si>
  <si>
    <t>Turpmāk ik gadu (ja pasākuma izpilde nav terminēta)</t>
  </si>
  <si>
    <t>KOPĒJAIS NEPIECIEŠAMAIS FINANSĒJUMS PLĀNA REALIZĀCIJAI:</t>
  </si>
  <si>
    <t>Finansējums valsts pamatfunkciju īstenošanai</t>
  </si>
  <si>
    <t>Finansējums ES politiku instrumentu un pārējās ĀFP līdzfinansēto un finansēto projektu un pasākumu īstenošanai</t>
  </si>
  <si>
    <t>Veselības ministrija</t>
  </si>
  <si>
    <t>VBF</t>
  </si>
  <si>
    <t>ES fondi</t>
  </si>
  <si>
    <t>33.03.00 "Kompensējamo medikamentu un materiālu apmaksāšana"</t>
  </si>
  <si>
    <t>33.04.00 "Centralizēta medikamentu un materiālu iegāde"</t>
  </si>
  <si>
    <t>33.14.00 "Primārās ambulatorās veselības aprūpes nodrošināšana"</t>
  </si>
  <si>
    <t>33.15.00 "Laboratorisko izmeklējumu nodrošināšana ambulatorajā aprūpē"</t>
  </si>
  <si>
    <t>33.16.00 "Pārējo ambulatoro veselības aprūpes pakalpojumu nodrošināšana"</t>
  </si>
  <si>
    <t>33.18.00 "Plānveida stacionāro veselības aprūpes pakalpojumu nodrošināšana"</t>
  </si>
  <si>
    <t>45.01.00 "Veselības aprūpes finansējuma administrēšana un ekonomiskā novērtēšana"</t>
  </si>
  <si>
    <t>1. Rīcības virziens</t>
  </si>
  <si>
    <t>SAS profilakse, tās veicināšana un riska faktoru ietekmes mazināšana</t>
  </si>
  <si>
    <t>1.1. Veselību veicinošo paradumu uzlabošana populācijas līmenī</t>
  </si>
  <si>
    <t> </t>
  </si>
  <si>
    <t>1.1.1.</t>
  </si>
  <si>
    <t>SPKC</t>
  </si>
  <si>
    <t xml:space="preserve">LKB, Pacientu biedrība “Parsirdi.lv” </t>
  </si>
  <si>
    <t>2027. gada II pusgads.  (Turpmāk ik gadu?)</t>
  </si>
  <si>
    <t>1.1.2.</t>
  </si>
  <si>
    <t xml:space="preserve">Izglītot iedzīvotājus par regulāras paškontroles veikšanu SAS profilaksei, lai mazinātu negatīvo ietekmi uz veselību.  </t>
  </si>
  <si>
    <t xml:space="preserve">Palielinājusies iedzīvotāju izpratne par paškontroles veikšanu SAS profilaksei, kā arī līdzestība savas veselības veicināšanā. </t>
  </si>
  <si>
    <t xml:space="preserve">Sadarbībā ar veselības jomas speciālistiem un pacientu organizācijām īstenoti vismaz divi sabiedrības informēšanas pasākumi pacientu līdzestības dienā par regulāras paškontroles veikšanu SAS profilaksei un negatīvās ietekmes uz veselību mazināšanai.  </t>
  </si>
  <si>
    <t>2026.gada II pusgads    2027. gada II pusgads  (Turpmāk ik gadu)</t>
  </si>
  <si>
    <t>1.1.3.</t>
  </si>
  <si>
    <t xml:space="preserve">SPKC, VM </t>
  </si>
  <si>
    <t xml:space="preserve">LKB, Pacientu biedrība “Parsirdi.lv”, BKUS, NVO </t>
  </si>
  <si>
    <t>2027. gada II pusgads (Turpmāk ik gadu)</t>
  </si>
  <si>
    <t>1.1.4.</t>
  </si>
  <si>
    <t>Samazināt saslimstību ar gripu un tās izraisīto komplikāciju skaitu</t>
  </si>
  <si>
    <t>1.1.4.1. Palielināt valsts apmaksāto devu skaitu riska grupu vakcinācijai pret gripu</t>
  </si>
  <si>
    <t>Vakcinācijas pret gripu aptveres palielinājums par 30% riska grupās attiecībā pret iepriekšējā sezonā izlietoto vakcīnu devu skaitu</t>
  </si>
  <si>
    <t>33.04.00 Centralizēta medikamentu un materiālu iegāde</t>
  </si>
  <si>
    <t>NVD, SPKC, VM</t>
  </si>
  <si>
    <t>2026. gada I pusgads
(turpmāk ik gadu)</t>
  </si>
  <si>
    <t>33.14.00 Primārās ambulatorās veselības aprūpes nodrošināšana</t>
  </si>
  <si>
    <t>1.1.4.2. Īstenot gripas profilakses kampaņu gripas vakcinācijas aptveres palielināšanai</t>
  </si>
  <si>
    <t>Veikta vismaz viena sabiedrības informēšanas kampaņa pirms gripas sezonas sākuma</t>
  </si>
  <si>
    <t>2026. gada II pusgads
(turpmāk ik gadu)</t>
  </si>
  <si>
    <t>2. Rīcības virziens</t>
  </si>
  <si>
    <t>Savlaicīga riska faktoru atklāšana, agrīna slimību diagnostika, ārstēšana un rehabilitācija</t>
  </si>
  <si>
    <t>2.1. Savlaicīga riska faktoru un slimību agrīna diagnostika</t>
  </si>
  <si>
    <t>2.1.2.</t>
  </si>
  <si>
    <t>Uzlabot cukura diabēta diagnostiku PVA</t>
  </si>
  <si>
    <t>2.1.2.1. Paplašināta cukura diabēta un prediabēta skrīninga programma</t>
  </si>
  <si>
    <t>33.15.00 Laboratorisko izmeklējumu nodrošināšana ambulatorajā aprūpē</t>
  </si>
  <si>
    <t>NVD</t>
  </si>
  <si>
    <t>LEA</t>
  </si>
  <si>
    <t>2026.gada II pusgads (turpmāk ik gadu)</t>
  </si>
  <si>
    <t>2.1.2.2. Uzlabota cukura diabēta pacientu diagnostika, skaidri nodalot ģimenes ārsta un endokrinologa pacientu plūsmu</t>
  </si>
  <si>
    <t>Izstrādāts savlaicīga cukura diabēta diagnostikas algoritms, kā arī pacienta ceļš diagnostikai</t>
  </si>
  <si>
    <t>VM</t>
  </si>
  <si>
    <t>LEA, LLĢĀA, LĢĀA</t>
  </si>
  <si>
    <t>2026.gada II pusgads</t>
  </si>
  <si>
    <t>2.1.3.</t>
  </si>
  <si>
    <t>Papildināt obligāto veselības pārbaudes laikā nosakāmo izmeklējumu klāstu</t>
  </si>
  <si>
    <t>Izvērtēta iespēja obligāto veselības pārbaužu laboratorisko izmeklējumu sarakstā, iekļaut glikozes līmeņa un kopējā holesterīna noteikšanu tukšā dūšā</t>
  </si>
  <si>
    <t>LLĢĀA, LĢĀA, LKB, LEA</t>
  </si>
  <si>
    <t>2027. gada I pusgads (turpmāk ik gadu)</t>
  </si>
  <si>
    <t>2.1.4.</t>
  </si>
  <si>
    <t>NVD, MVI kardioloģijā</t>
  </si>
  <si>
    <t>LKB</t>
  </si>
  <si>
    <t>2026. gada II pusgads (turpmāk ik gadu)</t>
  </si>
  <si>
    <t>Izveidota lipīdu klīnikas vienība vienotai pacientu aprūpei (PSKUS) 4064 pacienti saņēmuši ĢH speciālista konsultāciju</t>
  </si>
  <si>
    <t>33.16.00 Pārējo ambulatoro veselības aprūpes pakalpojumu nodrošināšana</t>
  </si>
  <si>
    <t>2026. gada II pusgads</t>
  </si>
  <si>
    <t>2.1.5.</t>
  </si>
  <si>
    <t>Uzlabot SAS izmeklējumu pieejamību SAVA</t>
  </si>
  <si>
    <t>33.18.00 Plānveida stacionāro veselības aprūpes pakalpojumu nodrošināšana</t>
  </si>
  <si>
    <t>2027.gada I pusgads (turpmāk ik gadu)</t>
  </si>
  <si>
    <t>Izstrādāti vienoti doplerogrāfijas (galvas, kakla un kāju asinsvadiem) izmeklējumu apraksti un pacientu ceļi</t>
  </si>
  <si>
    <t>VM, LAB</t>
  </si>
  <si>
    <t>2027.gada I pusgads</t>
  </si>
  <si>
    <t>Pārskatīta ārstu kompetence ehokardiogrāfijas izmeklējumu veikšanai un definētas prasības iekārtām</t>
  </si>
  <si>
    <t xml:space="preserve">VM, VI, MVI KJ </t>
  </si>
  <si>
    <t>2027.gada II pusgads</t>
  </si>
  <si>
    <t>2.1.6.</t>
  </si>
  <si>
    <t>321 pacienti saņēmuši kardiopulmonālā testa izmeklējumu</t>
  </si>
  <si>
    <t>2026.gada I pusgads (turpmāk ik gadu)</t>
  </si>
  <si>
    <t>3 350 pacienti saņēmuši no 18-24h asinsspiediena monitorēšanu</t>
  </si>
  <si>
    <t>2.1.7.</t>
  </si>
  <si>
    <t>Uzlabot asinsvadu saslimšanu diagnostiku</t>
  </si>
  <si>
    <t>LAĶB</t>
  </si>
  <si>
    <t>2.2. SAS un to saistīto slimību pacientu uzraudzības uzlabošana PVA un SAVA</t>
  </si>
  <si>
    <t>2.2.1.</t>
  </si>
  <si>
    <t>5 000 pacientu saņēmuši hroniskas slimības intensificētu dinamisko novērošanu 2 500 pacienti saņēmuši elektrokardiostimulatora darbības pārbaudi un programmēšanu, 5 000 pacientiem vismaz 1 reizi pēc simptomātiska insulta vai tranzitoras išēmiskas lēkmes saņemta neirologa konsultācija un veikta neirosonoloģiskā izmeklēšana</t>
  </si>
  <si>
    <t>2027. gada II pusgads (turpmāk ik gadu)</t>
  </si>
  <si>
    <t>2.2.2.</t>
  </si>
  <si>
    <t>63.08.00 Eiropas Sociālā fonda Plus (ESF+) projektu īstenošana (2021-2027)   </t>
  </si>
  <si>
    <t>LEA, VM</t>
  </si>
  <si>
    <t>2026. gada I pusgads</t>
  </si>
  <si>
    <t>2.2.3.</t>
  </si>
  <si>
    <t>2.2.4.</t>
  </si>
  <si>
    <t>LĀB, MVI ģimenes medicīnā</t>
  </si>
  <si>
    <t>LAĀA</t>
  </si>
  <si>
    <t>Izstrādāts klīniskais algoritms un pacienta ceļš diabētiskās pēdas un trofisko čūlu aprūpei</t>
  </si>
  <si>
    <t>LĀB</t>
  </si>
  <si>
    <t>2.2.5.</t>
  </si>
  <si>
    <t>NVD, MVI ģimenes medicīnā</t>
  </si>
  <si>
    <t>LĢĀA, LĢĀA, LNA, LNMAA</t>
  </si>
  <si>
    <t>LNA, LNMAA</t>
  </si>
  <si>
    <t>2027. gada II pusgads</t>
  </si>
  <si>
    <t>2.2.6.</t>
  </si>
  <si>
    <t>Izstrādāts klīniskais algoritms un pacientu ceļš perifēro artēriju slimību, kakla asinsvadu aterosklerozes un aortas aneirismu dinamiskai novērošanai</t>
  </si>
  <si>
    <t>2.2.7.</t>
  </si>
  <si>
    <t xml:space="preserve">Pacientu biedrība “Parsirdi.lv” </t>
  </si>
  <si>
    <t>LDVC, VM</t>
  </si>
  <si>
    <t>BKUS, PSKUS, Nacionālais rehabilitācijas centrs “Vaivari”</t>
  </si>
  <si>
    <t xml:space="preserve">2.3. Medikamentu pieejamības uzlabošana </t>
  </si>
  <si>
    <t>2.3.1.</t>
  </si>
  <si>
    <t>2.3.1.3. Kompensēti antikoagulanti pacientiem ar plaušu trombemboliju 12 mēnešu garumā no diagnozes uzstādīšanas brīža</t>
  </si>
  <si>
    <t>2.3.2.</t>
  </si>
  <si>
    <t>2026.gada I pusgads</t>
  </si>
  <si>
    <t>2.3.3.</t>
  </si>
  <si>
    <t>2.3.4.</t>
  </si>
  <si>
    <t>2.3.5.</t>
  </si>
  <si>
    <t>Palielināt kardiovaskulāro pacientu līdzestību medikamentu lietošanā</t>
  </si>
  <si>
    <t>Uzlabot glikozes līmeņa monitorēšanu I tipa cukura diabēta pacientiem no 18 līdz 24 gadu vecumam</t>
  </si>
  <si>
    <t>2.4.1.</t>
  </si>
  <si>
    <t>Izvērtēt pašreizējo situāciju akūta insulta ārstēšanā, insulta sekundārajā profilaksē, pacientu ilgtermiņa novērošanā un rehabilitācijā</t>
  </si>
  <si>
    <t>2.4.2.</t>
  </si>
  <si>
    <t>Izpildīt tematiskās pārbaudes “Akūta koronāra sindroma pacientu aprūpe” secinājumus</t>
  </si>
  <si>
    <t>2.4.2.1. Nodrošināta vienota akūta koronāra sindroma simptomu atpazīšana un diagnostikas interpretācija veselības aprūpes darbinieku vidū</t>
  </si>
  <si>
    <t>45.01.00 Veselības aprūpes finansējuma administrēšana un ekonomiskā novērtēšana</t>
  </si>
  <si>
    <t>MVI kardioloģijā, slimnīcas, NMPD, SPKC</t>
  </si>
  <si>
    <t>2.4.2.2. Veicināta vienota rīcība akūta koronāra sindroma gadījumā NMP etapā</t>
  </si>
  <si>
    <t>MVI kardioloģijā, slimnīcas, NMPD</t>
  </si>
  <si>
    <t>2.4.3.</t>
  </si>
  <si>
    <t>2.4.3.1. Pārskatīts stacionārā un dienas stacionārā veicamo manipulāciju klāsts, pacientu plūsmas strukturēšanai</t>
  </si>
  <si>
    <t>20% stacionārā ārstējamo pacientu pārvirzīti aritmoloģiskas intervences saņemšanai dienas stacionārā, tādējādi atbrīvojot vietu pacientiem stacionāra pakalpojumu saņemšanai aritmoloģijā</t>
  </si>
  <si>
    <t>PSKUS, RAKUS</t>
  </si>
  <si>
    <t>Pārskatīti radiofrekventās katetra ablācijas tarifi un diagnostikas manipulācijas aritmijas diagnostikai atbilstoši faktiskajām izmaksām</t>
  </si>
  <si>
    <t>2.4.4.</t>
  </si>
  <si>
    <t>2.4.5.</t>
  </si>
  <si>
    <t>MVI kardioloģijā</t>
  </si>
  <si>
    <t>2.4.6.</t>
  </si>
  <si>
    <t>2.4.6.1. - 2026.gadā - 150 pacienti, 2027.gadā un turpmāk ik gadu - 200 paciento saņēmuši transkatetra aortālā vārstuļa implantāciju
2.4.6.2. - 2026.gadā - 30 pacienti, 2027.gadā un turpmāk ik gadu - 50 pacienti saņēmuši transkatetra trikuspidālā, mitrālā, pulmonālā vārstuļa implantāciju</t>
  </si>
  <si>
    <t>PSKUS</t>
  </si>
  <si>
    <t>2.4.7.</t>
  </si>
  <si>
    <t>2027.gada II pusgads (turpmāk ik gadu)</t>
  </si>
  <si>
    <t>2.4.8.</t>
  </si>
  <si>
    <t>2.4.9.</t>
  </si>
  <si>
    <t>2.4.10.</t>
  </si>
  <si>
    <t xml:space="preserve">Veicināt pāreju pieaugušo pacienta vecumā uz PSKUS ar bērnībā operētu kombinētu sirdskaiti </t>
  </si>
  <si>
    <t>2.4.11.</t>
  </si>
  <si>
    <t>NVD, LEA, LAB</t>
  </si>
  <si>
    <t>RAKUS, PSKUS, reģionālās slimnīcas</t>
  </si>
  <si>
    <t>2027. gada I pusgads</t>
  </si>
  <si>
    <t>2.5.1.</t>
  </si>
  <si>
    <t>Izvērtēt līdzšinējo rehabilitācijas pieejamību uzreiz pēc insulta/cerebrovaskulāras saslimšanas akūtā perioda</t>
  </si>
  <si>
    <t>BKUS, PSKUS, RAKUS, Nacionālais rehabilitācijas centrs “Vaivari”</t>
  </si>
  <si>
    <t>2.5.2.</t>
  </si>
  <si>
    <t>2.5.3.</t>
  </si>
  <si>
    <t>2.6.1.</t>
  </si>
  <si>
    <t>Sekmēt kvalitatīvu ārstēšanu insulta, AKS, aritmiju un sirds mazspējas pacientiem</t>
  </si>
  <si>
    <t>Izvērtēti līdzšinējie un definēti kvalitātes kritēriji sekmīgai insulta, AKS, aritmiju un sirds mazspējas ārstēšanai</t>
  </si>
  <si>
    <t>2.6.2.</t>
  </si>
  <si>
    <t>Izvērtēt nāves cēloņa medicīnisko apliecību kvalitāti</t>
  </si>
  <si>
    <t>Realizēts Nāves cēloņa medicīnisko apliecību kvalitātes kontroles pētījums, nodrošinot rezultātu un iespējamo neatbilstību analīzi</t>
  </si>
  <si>
    <t>3. Rīcības virziens</t>
  </si>
  <si>
    <t>Veselības aprūpes personāla zināšanu un prasmju pilnveidošana</t>
  </si>
  <si>
    <t>3.1. Ārstniecības personu apmācība</t>
  </si>
  <si>
    <t>3.1.1.</t>
  </si>
  <si>
    <t>Apmācīt veselības aprūpes speciālistus, lai veicinātu pacientu informētību par riska faktoriem, savlaicīgu SAS un to saistīto slimību diagnostiku un šo slimību uzraudzību saskaņā ar izstrādātājiem klīniskajiem algoritmiem un pacientu ceļiem</t>
  </si>
  <si>
    <t>VM, SPKC</t>
  </si>
  <si>
    <t>Pacientu organizācija “parsirdi.lv”</t>
  </si>
  <si>
    <t>3.1.1.2. Pilnveidotas veselības aprūpes speciālistu zināšanas PVA un SAVA cukura diabēta slimības novērošanai, komplikāciju diagnostikā un ārstēšanā, kā arī hronisku nieru slimības tālākai uzraudzībai, lai optimizētu pacientu plūsmu pie speciālistiem</t>
  </si>
  <si>
    <t>LKB, LEA, LNA, LNMAA, LLĢĀA, LĢĀA, MVI ģimenes med.</t>
  </si>
  <si>
    <t>3.1.2.</t>
  </si>
  <si>
    <t>Pilnveidot veselības aprūpes personāla komunikācijas prasmes ar pacientiem</t>
  </si>
  <si>
    <t>Pacientu organizācija “Parsirdi.lv”</t>
  </si>
  <si>
    <t>3.1.3.</t>
  </si>
  <si>
    <t>Apmācīt veselības aprūpes speciālistus un veicināt pacientu informētību, līdzestību medikamentu lietošanā</t>
  </si>
  <si>
    <t>Veikta ārstniecības personu izglītošana, kas pacientiem nozīmē medikamentus, medikamentu optimizācijas veicināšanai, polifarmācijas mazināšanai, dodot priekšroku medikamentu kombinācijām, kas ir pierādījušas savu efektu un veicina pacientu līdzestību</t>
  </si>
  <si>
    <t>VM, ZVA</t>
  </si>
  <si>
    <t>3.1.4.</t>
  </si>
  <si>
    <t>Apmācīt veselības aprūpes speciālistus cerebrovaskulāru slimību novēršanai</t>
  </si>
  <si>
    <t>Pilnveidotas zināšanas PVA un citu nozaru speciālistiem par cerebrovaskulāro slimību riska faktoru atpazīšanu, primārās profilakses iespējām, insulta novēršanu un riska faktoru mazināšanu</t>
  </si>
  <si>
    <t>3.1.5.</t>
  </si>
  <si>
    <t>Stiprināt ārstu kompetences diagnožu un nāves cēloņu kodēšanā</t>
  </si>
  <si>
    <t>Pilnveidotas ārstu zināšanas un prasmes diagnožu un nāves cēloņu kodēšanā saskaņā ar aktuālo SSK redakciju</t>
  </si>
  <si>
    <t>LLĢĀA, LĢĀA, LKB</t>
  </si>
  <si>
    <t>Apakšprogrammas nosaukums</t>
  </si>
  <si>
    <t>Papildus nepieciešamais finansējums 2026.gadam</t>
  </si>
  <si>
    <t>Papildus nepieciešamais finansējums 2027.gadam</t>
  </si>
  <si>
    <t>Papildu nepieciešamais finansējums 2028.gadam</t>
  </si>
  <si>
    <t>Papildus nepieciešamais finansējums turpmāk ik gadu 
(ja pasākums nav terminēts)</t>
  </si>
  <si>
    <t>Sezona</t>
  </si>
  <si>
    <t>Vakcīnas tips</t>
  </si>
  <si>
    <t>Vakcīnu skaits</t>
  </si>
  <si>
    <t>Cena ar PVN</t>
  </si>
  <si>
    <t>Apskate un vakcīnu ievade</t>
  </si>
  <si>
    <t>Kopā ar PVN</t>
  </si>
  <si>
    <t>2026/2027</t>
  </si>
  <si>
    <t>Intranazālā (Fluenz)</t>
  </si>
  <si>
    <t>Augstas devas (Efluelda vai Fluad)</t>
  </si>
  <si>
    <t>Standarta (influvac)</t>
  </si>
  <si>
    <t>Kopā:</t>
  </si>
  <si>
    <t>no tā:</t>
  </si>
  <si>
    <t>Budžeta apakšprogramma 33.04.00</t>
  </si>
  <si>
    <t>Budžeta apakšprogramma 33.14.00</t>
  </si>
  <si>
    <t>Papildu nepieciešamais finansējums 2026.gadam:</t>
  </si>
  <si>
    <t>Cena ar PVN*</t>
  </si>
  <si>
    <t>2027/2028</t>
  </si>
  <si>
    <t>Papildu nepieciešamais finansējums 2027.gadam:</t>
  </si>
  <si>
    <t>2028.gads un turpmāk ik gadu</t>
  </si>
  <si>
    <t>2028/2029</t>
  </si>
  <si>
    <t>Papildu nepieciešamais finansējums 2028.gadam un turpmākik gadu:</t>
  </si>
  <si>
    <t>Izpilde, %</t>
  </si>
  <si>
    <t>Esošais finansējums</t>
  </si>
  <si>
    <t>Papildus nepieciešamais finansējums 2026. gadam</t>
  </si>
  <si>
    <t>Papildus nepieciešamais finansējums 2027. gadam</t>
  </si>
  <si>
    <t>Papildus nepieciešamais finansējums 2028. gadam un turpmāk ik gadu
(ja pasākums nav terminēts)</t>
  </si>
  <si>
    <t>Manipulācijas nosaukums</t>
  </si>
  <si>
    <t>Manipulācijas kods</t>
  </si>
  <si>
    <t>Tarifs, euro</t>
  </si>
  <si>
    <t>Plānotais manipulāciju skaits pacientam gadā</t>
  </si>
  <si>
    <t>Plānotais pacientu skaits 2026. gadā, ja atsaucība ir 50 %</t>
  </si>
  <si>
    <t>Plānotais pacientu skaits 2027. gadā, ja atsaucība ir 55 %</t>
  </si>
  <si>
    <t>Plānotais pacientu skaits 2028. gadam un turpmāk ik gadu, ja atsaucība ir 60 %</t>
  </si>
  <si>
    <t>Papildus nepieciešamais finansējums 2028. gadā un turpmāk ik gadu, ja atsaucība ir 60 %, euro</t>
  </si>
  <si>
    <t>Glikoze asinīs</t>
  </si>
  <si>
    <t>Glikozes slodzes tests</t>
  </si>
  <si>
    <t>41096</t>
  </si>
  <si>
    <t>Iedzīvotāju skaits vecuma grupā 35-39 gadi</t>
  </si>
  <si>
    <t>10 % iedzīvotāju  skaita vecuma grupā 35-39 gadi</t>
  </si>
  <si>
    <t>2024. gadā unikālajaiem pacientiem veiktais manipulāciju skaits vecuma grupās</t>
  </si>
  <si>
    <t>Vecums</t>
  </si>
  <si>
    <t>Unikālo pacientu skaits</t>
  </si>
  <si>
    <t>Kopā</t>
  </si>
  <si>
    <t>Esošais finansējums*</t>
  </si>
  <si>
    <t>Manip. tarifs, eiro</t>
  </si>
  <si>
    <t>Pacienta līdmaksājums, eiro</t>
  </si>
  <si>
    <t>Plānotais manipulāciju skaits vienam pacientam gadā</t>
  </si>
  <si>
    <t>Plānotais ambulatoro pacientu skaits 2026. gadam*</t>
  </si>
  <si>
    <t>Papildus nepieciešamais finansējums 2026. gadā, euro</t>
  </si>
  <si>
    <t>Plānotais ambulatoro pacientu skaits 2027. gadam*</t>
  </si>
  <si>
    <t>Papildus nepieciešamais finansējums 2027. gadā, euro</t>
  </si>
  <si>
    <t>Plānotais ambulatoro pacientu skaits 2028. gadam un turpmāk ik gadu*</t>
  </si>
  <si>
    <t>Plānotais ambulatoro pacientu skaits 2029. gadam</t>
  </si>
  <si>
    <t>Plānotais ambulatoro pacientu skaits 2030. gadam un turpmāk ik gadu</t>
  </si>
  <si>
    <t>Papildus nepieciešamais finansējums 2030. gadā un turpmāk ik gadu, euro</t>
  </si>
  <si>
    <t>Lipoproteīns (a)</t>
  </si>
  <si>
    <t>* pieņemot, ka atsaucība būtu 30 % ik gadu</t>
  </si>
  <si>
    <t>Gads</t>
  </si>
  <si>
    <t>Vecums 2025. gadā</t>
  </si>
  <si>
    <t>Pacientu skaits</t>
  </si>
  <si>
    <t>Finansējums</t>
  </si>
  <si>
    <t>39-74 gadi</t>
  </si>
  <si>
    <t>38-73 gadi</t>
  </si>
  <si>
    <t>38 gadus veci pacienti nebūs testējušies 2026. gadā, tāpēc pieskaitīti 30 % par 2026. gadu</t>
  </si>
  <si>
    <t>37-72 gadi</t>
  </si>
  <si>
    <t>37 gadus veci pacienti nebūs testējušies 2026. un 2027. gadā, tāpēc pieskaitīti 30 % par 2026. gadu, 38 gadus veci pacienti pirmo reizi testēti 2027. gadā, tāpēc pieskaitīti 30 % par 2027. gadu</t>
  </si>
  <si>
    <t>36-71 gadi</t>
  </si>
  <si>
    <t>35-70 gadi</t>
  </si>
  <si>
    <t>2025. gada statistikas dati no data.stat.gov.lv</t>
  </si>
  <si>
    <t>2028 un turpmāk</t>
  </si>
  <si>
    <t>35 gadi</t>
  </si>
  <si>
    <t>36 gadi</t>
  </si>
  <si>
    <t>37 gadi</t>
  </si>
  <si>
    <t>38 gadi</t>
  </si>
  <si>
    <t>39 gadi</t>
  </si>
  <si>
    <t>40 gadi</t>
  </si>
  <si>
    <t>41 gads</t>
  </si>
  <si>
    <t>42 gadi</t>
  </si>
  <si>
    <t>43 gadi</t>
  </si>
  <si>
    <t>44 gadi</t>
  </si>
  <si>
    <t>45 gadi</t>
  </si>
  <si>
    <t>46 gadi</t>
  </si>
  <si>
    <t>47 gadi</t>
  </si>
  <si>
    <t>48 gadi</t>
  </si>
  <si>
    <t>49 gadi</t>
  </si>
  <si>
    <t>50 gadi</t>
  </si>
  <si>
    <t>51 gads</t>
  </si>
  <si>
    <t>52 gadi</t>
  </si>
  <si>
    <t>53 gadi</t>
  </si>
  <si>
    <t>54 gadi</t>
  </si>
  <si>
    <t>55 gadi</t>
  </si>
  <si>
    <t>56 gadi</t>
  </si>
  <si>
    <t>57 gadi</t>
  </si>
  <si>
    <t>58 gadi</t>
  </si>
  <si>
    <t>59 gadi</t>
  </si>
  <si>
    <t>60 gadi</t>
  </si>
  <si>
    <t>61 gads</t>
  </si>
  <si>
    <t>62 gadi</t>
  </si>
  <si>
    <t>63 gadi</t>
  </si>
  <si>
    <t>64 gadi</t>
  </si>
  <si>
    <t>65 gadi</t>
  </si>
  <si>
    <t>66 gadi</t>
  </si>
  <si>
    <t>67 gadi</t>
  </si>
  <si>
    <t>68 gadi</t>
  </si>
  <si>
    <t>69 gadi</t>
  </si>
  <si>
    <t>70 gadi</t>
  </si>
  <si>
    <t>71 gads</t>
  </si>
  <si>
    <t>72 gadi</t>
  </si>
  <si>
    <t>73 gadi</t>
  </si>
  <si>
    <t>74 gadi</t>
  </si>
  <si>
    <t>75 gadi</t>
  </si>
  <si>
    <t>Ārsts</t>
  </si>
  <si>
    <t>Māsa</t>
  </si>
  <si>
    <t>Palīgpersonāls</t>
  </si>
  <si>
    <t>Soc.nodoklis </t>
  </si>
  <si>
    <t>Mēneša darba samaksa</t>
  </si>
  <si>
    <t>1 minūtes vērtība darba samaksai</t>
  </si>
  <si>
    <t>Koordinators</t>
  </si>
  <si>
    <t>Slodze</t>
  </si>
  <si>
    <t>Alga mēnesī*</t>
  </si>
  <si>
    <t>Soc. nodoklis</t>
  </si>
  <si>
    <t>Alga ar soc. nodokli mēnesī</t>
  </si>
  <si>
    <t>Alga gadā</t>
  </si>
  <si>
    <t>Soc. nodoklis gadā</t>
  </si>
  <si>
    <t>Alga ar soc. nodokli gadā</t>
  </si>
  <si>
    <t>*koordinatoram tiek piemērota māsas alga</t>
  </si>
  <si>
    <t>Aprūpes epizodes</t>
  </si>
  <si>
    <t>Specialitāte</t>
  </si>
  <si>
    <t>Aprūpes epizodes tarifs</t>
  </si>
  <si>
    <t>2026.gada pacientu skaits</t>
  </si>
  <si>
    <t>Izmaksas</t>
  </si>
  <si>
    <t>2027.gadā un turpmāk ik gadu  pacientu skaits</t>
  </si>
  <si>
    <t>Kardiologs</t>
  </si>
  <si>
    <t>**16 pacienti dienā, gadā 254 darba dienas</t>
  </si>
  <si>
    <t>Papildus nepieciešamais finansējums 2027. gadā un turpmāk ik gadu
(ja pasākums nav terminēts)</t>
  </si>
  <si>
    <t xml:space="preserve">Pieskaitāmās un netiešās ražošanas izmaksas </t>
  </si>
  <si>
    <t xml:space="preserve">Administratīvās izmaksas </t>
  </si>
  <si>
    <t xml:space="preserve">Pārējo pamatlīdzekļu amortizācija </t>
  </si>
  <si>
    <t>Koeficienti</t>
  </si>
  <si>
    <t>Mainīgās izmaksas</t>
  </si>
  <si>
    <t>Kopējās izmaksas, euro</t>
  </si>
  <si>
    <t>Pacienta līdzmaksājums, euro</t>
  </si>
  <si>
    <t>Darba laiks (minūtes)</t>
  </si>
  <si>
    <t>Darba samaksa D, euro</t>
  </si>
  <si>
    <t>Valsts sociālās apdrošināšanas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</si>
  <si>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</si>
  <si>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</si>
  <si>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</si>
  <si>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</si>
  <si>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</si>
  <si>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</si>
  <si>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</si>
  <si>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</si>
  <si>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</si>
  <si>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</si>
  <si>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</si>
  <si>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</si>
  <si>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</si>
  <si>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Veloergometrijas slodzes tests</t>
  </si>
  <si>
    <t>Ehokardiogrāfija ar doplerogrāfiju</t>
  </si>
  <si>
    <t>Stresehokardiogrāfija ar fizisku slodzi vai medicīniskām provēm. Nenorādīt kopā ar manipulācijām 06011, 06012 un 06021</t>
  </si>
  <si>
    <t>Skrīningehokardiogrāfija</t>
  </si>
  <si>
    <t>Transezofageāla ehokardiogrāfija M un B režīmos ar krāsas doplerogrāfiju, spektra analīzi un hemodinamikas rādītāju noteikšana</t>
  </si>
  <si>
    <t>Manipulācijas pašreizējais nosaukums</t>
  </si>
  <si>
    <t>Manipulācijas plānotais nosaukums</t>
  </si>
  <si>
    <t>Manipulācijas pašreizējais tarifs</t>
  </si>
  <si>
    <t>Manipulācijas pārrēķinātais tarifs**</t>
  </si>
  <si>
    <t>Plānotais pacientu skaits gadā</t>
  </si>
  <si>
    <t>Tarifa pieaugumam nepieciešamais finansējums</t>
  </si>
  <si>
    <t>Nepieciešamais  papildus finansējums gadā, eiro</t>
  </si>
  <si>
    <t>Plānotie apmaksas nosacījumi*</t>
  </si>
  <si>
    <t>Finansējuma sadalījums pa apakšprogrammām</t>
  </si>
  <si>
    <t>Ambulatori</t>
  </si>
  <si>
    <t>Dienas stacionārā</t>
  </si>
  <si>
    <t>Stacionārā</t>
  </si>
  <si>
    <t>Bez izmaiņām</t>
  </si>
  <si>
    <t>* Pacientu skaits un sadalījums sadalījums atbilstoši  2024. gada statistikai</t>
  </si>
  <si>
    <t>** atbilstoši VSIA "Paula Stradiņa klīniskā universitātes slimnīca" iesniegumiem</t>
  </si>
  <si>
    <t>Tarifa pārrēķins</t>
  </si>
  <si>
    <t>Valsts sociālās adrošināšanas obligātās iemaksas S, euro</t>
  </si>
  <si>
    <t>D</t>
  </si>
  <si>
    <t>S</t>
  </si>
  <si>
    <t>M</t>
  </si>
  <si>
    <t>E</t>
  </si>
  <si>
    <t>U</t>
  </si>
  <si>
    <t>A</t>
  </si>
  <si>
    <t>N</t>
  </si>
  <si>
    <t>P</t>
  </si>
  <si>
    <t>Kopējās izmaksas</t>
  </si>
  <si>
    <t>Pacienta līdzmaksājums</t>
  </si>
  <si>
    <t>Tarifs</t>
  </si>
  <si>
    <t>07045</t>
  </si>
  <si>
    <t>Kardiopulmonālais slodžu tests</t>
  </si>
  <si>
    <t>Sadalījums ambulatori un stacionāri</t>
  </si>
  <si>
    <t>Manip. tarifs, EUR</t>
  </si>
  <si>
    <t>Aprēķinātais tarifs, EUR</t>
  </si>
  <si>
    <t>Papildus manip.tarifam nepieciešamais finansējums, EUR</t>
  </si>
  <si>
    <t>Plānotais pacientu skaits gadā*, **</t>
  </si>
  <si>
    <t>Nepieciešamais finansējums gadā, EUR</t>
  </si>
  <si>
    <t>Pacientu sadalījums pa apakšprogrammām</t>
  </si>
  <si>
    <t>Apmaksas nosacījumi</t>
  </si>
  <si>
    <t>Finansējuma sadalījums pa apakšprogrammām, EUR</t>
  </si>
  <si>
    <t>Kardiopulmonālais slodžu tests (līdzšinējie apmaksas nosacījumi)</t>
  </si>
  <si>
    <r>
      <t>Ambulatori samaksa par šo manipulāciju tiek veikta, ja to norāda  pneimonologi, bērnu pneimonologi, alergologi, bērnu alergologi, ģimenes ārsti</t>
    </r>
    <r>
      <rPr>
        <sz val="11"/>
        <color rgb="FFFF0000"/>
        <rFont val="Times New Roman"/>
        <family val="1"/>
        <charset val="186"/>
      </rPr>
      <t>.</t>
    </r>
  </si>
  <si>
    <t>Kardiopulmonālais slodžu tests (apmaksas nosacījumi no 2026. gada)</t>
  </si>
  <si>
    <r>
      <t>Ambulatori samaksa par šo manipulāciju tiek veikta, ja to norāda  pneimonologi, bērnu pneimonologi, alergologi, bērnu alergologi, ģimenes ārsti</t>
    </r>
    <r>
      <rPr>
        <sz val="11"/>
        <color rgb="FFFF0000"/>
        <rFont val="Times New Roman"/>
        <family val="1"/>
        <charset val="186"/>
      </rPr>
      <t>, kardiologi</t>
    </r>
    <r>
      <rPr>
        <sz val="11"/>
        <color theme="1"/>
        <rFont val="Times New Roman"/>
        <family val="1"/>
        <charset val="186"/>
      </rPr>
      <t>.</t>
    </r>
  </si>
  <si>
    <t>KOPĀ:</t>
  </si>
  <si>
    <t>* 2024. gada oficiālā statistika - 71 pacients. Finanšu ietekmi veido tarifa pieaugums.</t>
  </si>
  <si>
    <t>** Plānotais skaita pieaugums no apmaksas nosacījumu paplašināšanas - 250 pacienti (MVI sniegtā informācija). Finanšu ietekmi veido kardiologa pacientu skaita reizinājums ar pilnu tarifu.</t>
  </si>
  <si>
    <t>Pacienta līdzmaksājums, euro*</t>
  </si>
  <si>
    <t>JAUNS</t>
  </si>
  <si>
    <t>Neinvazīvā asinspiediena monitorēšana no 18 līdz 24 stundām</t>
  </si>
  <si>
    <t>*Atbilstoši MK Nr.555 13.pielikuma 7.2. punktam</t>
  </si>
  <si>
    <t>Provizoriskais pacientu skaits**</t>
  </si>
  <si>
    <t>Nepieciešamais finansējums gadā, eiro</t>
  </si>
  <si>
    <t>** Latvijas Kardiologu biedrības sniegtā informācija</t>
  </si>
  <si>
    <t>Esošais manipulācijas tarifs, eiro</t>
  </si>
  <si>
    <t>Pārrēķinātais tarifs, eiro</t>
  </si>
  <si>
    <t>Papildus nepieciešamais finansējums 2027.gadam un turpmāk ik gadu
(ja pasākums nav terminēts)</t>
  </si>
  <si>
    <t>Starpība</t>
  </si>
  <si>
    <t>Pacientu skaits**</t>
  </si>
  <si>
    <t>Reižu skaits vienam pacientam**</t>
  </si>
  <si>
    <t>Reizes kopā</t>
  </si>
  <si>
    <t>Summa</t>
  </si>
  <si>
    <t>Pārrēķins</t>
  </si>
  <si>
    <t>Esošais tarifs</t>
  </si>
  <si>
    <t>Holtera monitorēšana no 18 līdz 24 stundām</t>
  </si>
  <si>
    <t>Jauns</t>
  </si>
  <si>
    <t>Jauna1</t>
  </si>
  <si>
    <t>Holtera monitorēšana no 18 līdz 24 stundām  (katras nākamās 24 stundas)</t>
  </si>
  <si>
    <t>-</t>
  </si>
  <si>
    <t>Elektrokardiogrammas ar 12 novadījumiem pieraksts</t>
  </si>
  <si>
    <t>Elektrokardiogrammas ar 12 novadījumiem apraksts</t>
  </si>
  <si>
    <t>Jauna2</t>
  </si>
  <si>
    <t>Ārsta-speciālista sniegta attālināta konsultācija ģimenes ārstam vai citas specialitātes ārstam-speciālistam (manipulāciju norāda ārsts-speciālists)</t>
  </si>
  <si>
    <t>*Sešu minūšu iešanas tests</t>
  </si>
  <si>
    <t>Kardiolga aprūpes epizode</t>
  </si>
  <si>
    <t>* MK 555 noteikumu 13. pielikums</t>
  </si>
  <si>
    <t>Kopā 5 kabinetiem</t>
  </si>
  <si>
    <t>** Latvijas Kardiologu biedrība</t>
  </si>
  <si>
    <t>Vienam kabinetam</t>
  </si>
  <si>
    <t>Elektroimpulsu plānveida terapija (defibrilācija)</t>
  </si>
  <si>
    <t>*Vienkameras elektrokardiostimulatora darbības pārbaude un programmēšana</t>
  </si>
  <si>
    <t>*Divkameru elektrokardiostimulatora darbības pārbaude un programmēšana</t>
  </si>
  <si>
    <t>*Vienkameras ventrikulārā ICD pārbaude un programmēšana</t>
  </si>
  <si>
    <t>*Divkameru (DDD) ICD pārbaude un programmēšana</t>
  </si>
  <si>
    <t>Jauna3</t>
  </si>
  <si>
    <t>Attālināta implantētas sirds ritma kontroles ierīces pārbaude</t>
  </si>
  <si>
    <t>Jauna4</t>
  </si>
  <si>
    <t>Implantētas sirds ritma diagnostikas un ārstēšanas ierīces attālinātas telemonitorēšanas iekārta</t>
  </si>
  <si>
    <t>Kardiologa aprūpes epizode</t>
  </si>
  <si>
    <t>Vidēji vienam kabinetam</t>
  </si>
  <si>
    <t>Reižu skaits vienam pacientam</t>
  </si>
  <si>
    <t>Brahiocefālo asinsvadu dupleksskenēšana ar krāsas doplerogrāfiju un spektra analīzi</t>
  </si>
  <si>
    <t>Neirologa aprūpes epizode</t>
  </si>
  <si>
    <t>06068</t>
  </si>
  <si>
    <t>06132</t>
  </si>
  <si>
    <t>06133</t>
  </si>
  <si>
    <t>06134</t>
  </si>
  <si>
    <t>06135</t>
  </si>
  <si>
    <r>
      <t xml:space="preserve">Papildus nepieciešamais finansējums </t>
    </r>
    <r>
      <rPr>
        <sz val="10"/>
        <rFont val="Times New Roman"/>
        <family val="1"/>
        <charset val="186"/>
      </rPr>
      <t>2026.gadam</t>
    </r>
  </si>
  <si>
    <r>
      <t>Papildus nepieciešamais finansējums</t>
    </r>
    <r>
      <rPr>
        <sz val="10"/>
        <rFont val="Times New Roman"/>
        <family val="1"/>
        <charset val="186"/>
      </rPr>
      <t xml:space="preserve"> 2027.gadam</t>
    </r>
  </si>
  <si>
    <r>
      <t>Papildus nepieciešamais finansējums</t>
    </r>
    <r>
      <rPr>
        <sz val="10"/>
        <rFont val="Times New Roman"/>
        <family val="1"/>
        <charset val="186"/>
      </rPr>
      <t xml:space="preserve"> 2028.gadam</t>
    </r>
  </si>
  <si>
    <t>2026.gads un turpmāk ik gadu</t>
  </si>
  <si>
    <t xml:space="preserve">33.03.00 Kompensējamo medikamentu un materiālu apmaksāšana  </t>
  </si>
  <si>
    <t xml:space="preserve">Esošais finansējums </t>
  </si>
  <si>
    <t>Lietošanas ilgums</t>
  </si>
  <si>
    <t>Kompensācijas apmērs</t>
  </si>
  <si>
    <t>Terapijas izmaksas</t>
  </si>
  <si>
    <t>Nepieciešamais finansējums, EUR</t>
  </si>
  <si>
    <t>2.3.1.1.</t>
  </si>
  <si>
    <t>Nepieciešams kompensēt antikoagulantus pacientiem pēc revaskularizācijas 3 mēnešus komplikāciju novēršanai</t>
  </si>
  <si>
    <t>3 mēneši</t>
  </si>
  <si>
    <t>03.07.2025 Prof.D.Krieviņš vidēji gadā LV veic vairāk kā 3500 perifēro revaskularizāciju.
Pacients pēc perifēro revaskularizāciju veikšanas 3 mēneši lieto antikoagulantus.
2026.gadā - 50%, 2027.gadā - 100% un 2028.gadā un turpmāk ik gadu - 100%</t>
  </si>
  <si>
    <t>2.3.1.2.</t>
  </si>
  <si>
    <t>Nepieciešams kompensēt antikoagulantus pacientiem ar DzVT (dziļo vēnu tromboze) 3-6 mēnešus komplikāciju novēršanai</t>
  </si>
  <si>
    <t>3-6 mēneši</t>
  </si>
  <si>
    <t>Pēc Eiropas epidemioloģiskiem novērojumiem DzVT sastopamība ir 160 gadījumi uz 100 000 iedzīvotāju. Atbilstoši CSP dati  2025.g. sākumā - 1 856 932, ts.k. bērni - 343 504, tātad pieaugušie - 1 513 428. 2026.gadā - 40%, 2027.gadā - 60% un 2028.gadā un turpmāk ik gadu - 80% no DzVT pacientiem saņems medikamentu.</t>
  </si>
  <si>
    <t>2.3.1.3.</t>
  </si>
  <si>
    <t>12 mēneši</t>
  </si>
  <si>
    <t xml:space="preserve">Veselības aprūpes pakalpojumu norēķinu sistēmas "Vadības informācijas sistēma" unikālo pacientu skaits ar diagnoze I26 (plaušu embolija) 2024.gadā
2026.gadā - 50%, 2027.gadā - 100% un 2028.gadā un turpmāk ik gadu - 100% </t>
  </si>
  <si>
    <t xml:space="preserve">Veselības aprūpes pakalpojumu norēķinu sistēmas "Vadības informācijas sistēma" unikālo pacientu skaits, kas saņēmuši medikamentu 2022.gadā kompensējamo zāļu sistēmas ietvaros. 2026.gadā - 50%, 2027.gadā - 100% un 2028.gadā un turpmāk ik gadu - 100%. </t>
  </si>
  <si>
    <t>Palielināt kardiovaskulāro pacientu līdzestību medikamentu lietošanā 100%*</t>
  </si>
  <si>
    <t xml:space="preserve">Veselības aprūpes pakalpojumu norēķinu sistēmas "Vadības informācijas sistēma" unikālo pacientu skaits, kas saņēmuši kardioloģisko medikamentu 2024.gadā kompensējamo zāļu sistēmas ietvaros ar 75% kompensāciju </t>
  </si>
  <si>
    <t xml:space="preserve">04.07.2025 Latvijas Endokrinologu asociācijas iesūtītais priekšlikums.  </t>
  </si>
  <si>
    <t>Uzlabot glikozes līmeņa monitorēšanu I tipa cukura diabēta pacientiem ar smagām un/ vai biežām hipoglikēmijām, labilu diabēta gaitu, nopietnām diabēta vēlīnām komplikācijām</t>
  </si>
  <si>
    <t>* Medikamentu kompensācijas apmēra palielināšana no 75% uz 100%</t>
  </si>
  <si>
    <t>Prognozējamais pacientu skaits</t>
  </si>
  <si>
    <t>Vidējās izmaksas
 uz 1 pacientu, EUR</t>
  </si>
  <si>
    <t>Prognozētais nepieciešamais
finansējums gadā, EUR</t>
  </si>
  <si>
    <t>75.97</t>
  </si>
  <si>
    <t>101.29</t>
  </si>
  <si>
    <t>Starpība (deficīts)</t>
  </si>
  <si>
    <t>Cukura diabēta acu komplikāciju savlaicīga atklāšana un ārstēšana</t>
  </si>
  <si>
    <t>1. Papildus nepieciešamais finansējums:</t>
  </si>
  <si>
    <t>10 = 11 + 12</t>
  </si>
  <si>
    <t>17294</t>
  </si>
  <si>
    <t>Intravitreāla injekcija vienai acij</t>
  </si>
  <si>
    <t>04110</t>
  </si>
  <si>
    <t>Acs virsmas anestēzija pirms intravitreālas injekcijas</t>
  </si>
  <si>
    <t>Manipulācijas nosaukums*</t>
  </si>
  <si>
    <t>Esošo pacientu skaits (apmaksāto) 2026.g.</t>
  </si>
  <si>
    <t xml:space="preserve">Plānotais papildus pacientu skaits 2026. gadam </t>
  </si>
  <si>
    <t>Esošais finansējums 2026. gada budžetā</t>
  </si>
  <si>
    <t>Papildus nepieciešamais finansējums 2026.gadā, euro**</t>
  </si>
  <si>
    <t>Papildus nepieciešamais finansējums 2027.gadā, euro**</t>
  </si>
  <si>
    <t>Papildus nepieciešamais finansējums 2028.gadā, euro**</t>
  </si>
  <si>
    <t>Autorefraktometrija abām acīm</t>
  </si>
  <si>
    <t>Redzes asuma noteikšana tuvumā vai tālumā abām acīm</t>
  </si>
  <si>
    <t>Tonometrija abām acīm</t>
  </si>
  <si>
    <t>Acs biomikroskopija abām acīm</t>
  </si>
  <si>
    <t>Netiešā oftalmoskopija abām acīm</t>
  </si>
  <si>
    <t>Optiskā koherentā tomogrāfija vienai acij</t>
  </si>
  <si>
    <t>Pacienta ārstēšanās dienas stacionārā, saņemot invazīvās kardioloģijas, invazīvās radioloģijas un ķirurģijas pakalpojumus</t>
  </si>
  <si>
    <t>Kopā pakalpojuma veikšanai:</t>
  </si>
  <si>
    <t>Medikamentu izmaksas:</t>
  </si>
  <si>
    <t>Kopējās izmaksas:</t>
  </si>
  <si>
    <t>**Kopējais pacienta ārstēšanas ilgums ir 3 gadi, pacientam piermajā ārstēšanas gadā nepieciešamas 8 injekcijas un turpmākos  2 gadus 4 injekcijas, kas noteiktas klīniskajās vadlīnijās par terapijas efektīvu nodrošināšanu.</t>
  </si>
  <si>
    <t>apakšprogramma 33.16.00 Pārējo ambulatoro veselības aprūpes pakalpojumu nodrošināšana</t>
  </si>
  <si>
    <t>Ārstēšanas ilgums 3 gadi</t>
  </si>
  <si>
    <t>Reižu skaits</t>
  </si>
  <si>
    <t>1.injekciju gadā</t>
  </si>
  <si>
    <t>2.injekciju gadā</t>
  </si>
  <si>
    <t>3.injekciju gadā</t>
  </si>
  <si>
    <t>Esošais pacientu skaits</t>
  </si>
  <si>
    <t>Esošais finansējums, eiro</t>
  </si>
  <si>
    <t>Papildu pacientu skaits</t>
  </si>
  <si>
    <t>Papildu nepieciešamais finansējums, eiro</t>
  </si>
  <si>
    <t>Kopā pacientu skaits</t>
  </si>
  <si>
    <t>Skaidrojums par nepieciešamo medikamentu injekciju skaitu papildu pacientu skaita apjomam</t>
  </si>
  <si>
    <t>100 pacienti 8xinjicē medikamentu</t>
  </si>
  <si>
    <t>50 pacienti 8x injicē medikamentu, 100 pacientiem 4xinjicē medikamentu</t>
  </si>
  <si>
    <t>50 pacienti 8x injicē medikamentu, 150 pacientiem 4xinjicē medikamentu</t>
  </si>
  <si>
    <t>Kopējais devu skaits gadā</t>
  </si>
  <si>
    <t>800 devas</t>
  </si>
  <si>
    <t>1000 devas</t>
  </si>
  <si>
    <t>Papildus nepieciešamais finansējums medikamentam</t>
  </si>
  <si>
    <t>Pacientu skaits 1.gadā</t>
  </si>
  <si>
    <t>Pacientu skaits 2.gadā (50 jaunie un tie kas turpina no iepriekšējā gada)</t>
  </si>
  <si>
    <t>Pacientu skaits 3.gadā (50 jaunie un tie kas turpina no iepriekšējā gada)</t>
  </si>
  <si>
    <t>Vidējās izmaksas vienam pacientam pirmajā gadā, euro***</t>
  </si>
  <si>
    <t>Vidējās izmaksas vienam pacientam otrajā gadā, euro ***</t>
  </si>
  <si>
    <t>Vidējās izmaksas vienam pacientam trešajā gadā, euro ***</t>
  </si>
  <si>
    <t>Kopējās medikamentu izmaksas 2026. gadā:</t>
  </si>
  <si>
    <t>Kopējās medikamentu izmaksas 2027. gadā:</t>
  </si>
  <si>
    <t>Kopējās medikamentu izmaksas 2028. gadā:</t>
  </si>
  <si>
    <t>*** Viena pacienta izmaksas pa gadiem ir atšķirīgas, jo 2. un 3. gadā ir atšķirīgas pirmreizējo pacientu un to pacientu proporcija, kas turpina terapiju.</t>
  </si>
  <si>
    <t>33.16.00 Pārējo ambulatoro veselības aprūpes pakalpojumu nodrošināšana*</t>
  </si>
  <si>
    <t>* nefroloģijas kopējais ambulatorais budžets 2025. gada sākumā</t>
  </si>
  <si>
    <r>
      <t>Cena</t>
    </r>
    <r>
      <rPr>
        <vertAlign val="superscript"/>
        <sz val="11"/>
        <color theme="1"/>
        <rFont val="Times New Roman"/>
        <family val="1"/>
        <charset val="186"/>
      </rPr>
      <t>1</t>
    </r>
  </si>
  <si>
    <t>Vienam pacientam plānotās aprūpes epizodes gadā</t>
  </si>
  <si>
    <r>
      <t>Pacientu skaits</t>
    </r>
    <r>
      <rPr>
        <vertAlign val="superscript"/>
        <sz val="11"/>
        <color theme="1"/>
        <rFont val="Times New Roman"/>
        <family val="1"/>
        <charset val="186"/>
      </rPr>
      <t>2</t>
    </r>
  </si>
  <si>
    <t>Nefrologa aprūpes epizode</t>
  </si>
  <si>
    <r>
      <rPr>
        <vertAlign val="superscript"/>
        <sz val="11"/>
        <color theme="1"/>
        <rFont val="Times New Roman"/>
        <family val="1"/>
        <charset val="186"/>
      </rPr>
      <t>1</t>
    </r>
    <r>
      <rPr>
        <sz val="11"/>
        <color theme="1"/>
        <rFont val="Times New Roman"/>
        <family val="1"/>
        <charset val="186"/>
      </rPr>
      <t xml:space="preserve"> Ministru kabineta noteikumi Nr. 555 4. pielikumā "Aprūpes epizodes un to tarifi".</t>
    </r>
  </si>
  <si>
    <r>
      <rPr>
        <vertAlign val="superscript"/>
        <sz val="11"/>
        <color theme="1"/>
        <rFont val="Times New Roman"/>
        <family val="1"/>
        <charset val="186"/>
      </rPr>
      <t>2</t>
    </r>
    <r>
      <rPr>
        <sz val="11"/>
        <color theme="1"/>
        <rFont val="Times New Roman"/>
        <family val="1"/>
        <charset val="186"/>
      </rPr>
      <t xml:space="preserve"> Pēc Latvijas Nefrologu Asociācijas: katram 10. no skrīnētajiem pacientiem būs nepieciešama nefrologa konsultācija.</t>
    </r>
  </si>
  <si>
    <r>
      <t>Pacienta līdmaksājums, eiro</t>
    </r>
    <r>
      <rPr>
        <vertAlign val="superscript"/>
        <sz val="11"/>
        <color rgb="FF000000"/>
        <rFont val="Times New Roman"/>
        <family val="1"/>
        <charset val="186"/>
      </rPr>
      <t>3</t>
    </r>
  </si>
  <si>
    <r>
      <t>Plānotais manipulāciju skaits vienam pacientam gadā</t>
    </r>
    <r>
      <rPr>
        <vertAlign val="superscript"/>
        <sz val="11"/>
        <color rgb="FF000000"/>
        <rFont val="Times New Roman"/>
        <family val="1"/>
        <charset val="186"/>
      </rPr>
      <t>4</t>
    </r>
  </si>
  <si>
    <t>Provizoriskais pacientu skaits</t>
  </si>
  <si>
    <t>Papildus nepieciešamais finansējums gadā, eiro</t>
  </si>
  <si>
    <r>
      <t>Ambulatori</t>
    </r>
    <r>
      <rPr>
        <vertAlign val="superscript"/>
        <sz val="11"/>
        <color rgb="FF000000"/>
        <rFont val="Times New Roman"/>
        <family val="1"/>
        <charset val="186"/>
      </rPr>
      <t>5</t>
    </r>
  </si>
  <si>
    <t>E10-E14</t>
  </si>
  <si>
    <t>I10-I15</t>
  </si>
  <si>
    <t>Kreatinīns</t>
  </si>
  <si>
    <t>Mikroalbuminūrija</t>
  </si>
  <si>
    <t>Urīna sedimenta standartizēta mikroskopija</t>
  </si>
  <si>
    <t>Asins ņemšana ar slēgtu sistēmu vienā stobriņā</t>
  </si>
  <si>
    <t>Uropoētiskās sistēmas ultrasonogrāfija</t>
  </si>
  <si>
    <r>
      <rPr>
        <vertAlign val="superscript"/>
        <sz val="11"/>
        <color theme="1"/>
        <rFont val="Times New Roman"/>
        <family val="1"/>
        <charset val="186"/>
      </rPr>
      <t>3</t>
    </r>
    <r>
      <rPr>
        <sz val="11"/>
        <color theme="1"/>
        <rFont val="Times New Roman"/>
        <family val="1"/>
        <charset val="186"/>
      </rPr>
      <t xml:space="preserve"> Ministru kabineta noteikumi Nr. 555 13. pielikumā "Pacienta līdzmaksājuma apmērs".</t>
    </r>
  </si>
  <si>
    <r>
      <rPr>
        <vertAlign val="superscript"/>
        <sz val="11"/>
        <color theme="1"/>
        <rFont val="Times New Roman"/>
        <family val="1"/>
        <charset val="186"/>
      </rPr>
      <t>4</t>
    </r>
    <r>
      <rPr>
        <sz val="11"/>
        <color theme="1"/>
        <rFont val="Times New Roman"/>
        <family val="1"/>
        <charset val="186"/>
      </rPr>
      <t xml:space="preserve"> Latvijas Nefrologu Asociācija: daļai analīzes būs jāveic atkārtoti. Aprēķinā paredzēts, ka pusei pacientu būs jāveic atkārtoti.</t>
    </r>
  </si>
  <si>
    <r>
      <rPr>
        <vertAlign val="superscript"/>
        <sz val="11"/>
        <color theme="1"/>
        <rFont val="Times New Roman"/>
        <family val="1"/>
        <charset val="186"/>
      </rPr>
      <t>5</t>
    </r>
    <r>
      <rPr>
        <sz val="11"/>
        <color theme="1"/>
        <rFont val="Times New Roman"/>
        <family val="1"/>
        <charset val="186"/>
      </rPr>
      <t xml:space="preserve"> Pacientu skaits samazinās, ja pacients jau ir veicis konkrēto analīzi pēdējā gada laikā. Konkrētās diagnozes saskaņotas ar Latvijas Nefrologu Asociāciju un Latvijas Nieru un Multiorgānu Aizstājterapijas asociāciju.</t>
    </r>
  </si>
  <si>
    <r>
      <rPr>
        <vertAlign val="superscript"/>
        <sz val="11"/>
        <color theme="1"/>
        <rFont val="Times New Roman"/>
        <family val="1"/>
        <charset val="186"/>
      </rPr>
      <t>6</t>
    </r>
    <r>
      <rPr>
        <sz val="11"/>
        <color theme="1"/>
        <rFont val="Times New Roman"/>
        <family val="1"/>
        <charset val="186"/>
      </rPr>
      <t xml:space="preserve"> Izvērtējot citu no valsts budžeta līdzekļiem apmaksātāto skrīningu atsaucības rādītājus.</t>
    </r>
  </si>
  <si>
    <t>Diagnozes</t>
  </si>
  <si>
    <t>Manipulācijas</t>
  </si>
  <si>
    <r>
      <t>Pacientu skaits gadā</t>
    </r>
    <r>
      <rPr>
        <b/>
        <vertAlign val="superscript"/>
        <sz val="11"/>
        <color theme="1"/>
        <rFont val="Times New Roman"/>
        <family val="1"/>
        <charset val="186"/>
      </rPr>
      <t>7</t>
    </r>
  </si>
  <si>
    <r>
      <t>Pacientu skaits</t>
    </r>
    <r>
      <rPr>
        <vertAlign val="superscript"/>
        <sz val="11"/>
        <color theme="1"/>
        <rFont val="Times New Roman"/>
        <family val="1"/>
        <charset val="186"/>
      </rPr>
      <t>8</t>
    </r>
  </si>
  <si>
    <t>E10 - E14</t>
  </si>
  <si>
    <t>I10 - I15</t>
  </si>
  <si>
    <r>
      <rPr>
        <vertAlign val="superscript"/>
        <sz val="11"/>
        <color theme="1"/>
        <rFont val="Times New Roman"/>
        <family val="1"/>
        <charset val="186"/>
      </rPr>
      <t>8</t>
    </r>
    <r>
      <rPr>
        <sz val="11"/>
        <color theme="1"/>
        <rFont val="Times New Roman"/>
        <family val="1"/>
        <charset val="186"/>
      </rPr>
      <t xml:space="preserve"> Pacientu skaits diagnozēm E10-E14 no Cukura diabēta pacientu reģistra, pacientu skaits diagnozēm I10-E15 no 2024. gadā veiktā  datu atlasījuma</t>
    </r>
  </si>
  <si>
    <r>
      <rPr>
        <vertAlign val="superscript"/>
        <sz val="11"/>
        <color theme="1"/>
        <rFont val="Times New Roman"/>
        <family val="1"/>
        <charset val="186"/>
      </rPr>
      <t>7</t>
    </r>
    <r>
      <rPr>
        <sz val="11"/>
        <color theme="1"/>
        <rFont val="Times New Roman"/>
        <family val="1"/>
        <charset val="186"/>
      </rPr>
      <t xml:space="preserve"> Datu atlasījumā par periodu 2023. gada septembris - 2024. gada augusts</t>
    </r>
  </si>
  <si>
    <t>1.tabula Manipulāciju pārrēķins</t>
  </si>
  <si>
    <t>Jaunais</t>
  </si>
  <si>
    <t>06061</t>
  </si>
  <si>
    <r>
      <t xml:space="preserve">Intrakardiāla elektrofizioloģiska izmeklēšana aritmiju diagnostikai </t>
    </r>
    <r>
      <rPr>
        <sz val="11"/>
        <color rgb="FFFF0000"/>
        <rFont val="Times New Roman"/>
        <family val="1"/>
        <charset val="186"/>
      </rPr>
      <t>un ārstēšanai</t>
    </r>
  </si>
  <si>
    <t>Esošais</t>
  </si>
  <si>
    <t>Intrakardiāla elektrofizioloģiska izmeklēšana aritmiju diagnostikai</t>
  </si>
  <si>
    <t>06062</t>
  </si>
  <si>
    <r>
      <rPr>
        <strike/>
        <sz val="10"/>
        <rFont val="Times New Roman"/>
        <family val="1"/>
        <charset val="186"/>
      </rPr>
      <t>Radiofrekventā katetra ablācija ar trīsdimensiju potenciālu reģistrācijas lietošanu</t>
    </r>
    <r>
      <rPr>
        <sz val="10"/>
        <color rgb="FFFF0000"/>
        <rFont val="Times New Roman"/>
        <family val="1"/>
        <charset val="186"/>
      </rPr>
      <t xml:space="preserve"> Aritmiju endo/epikardiāla ablācija, pielietojot sirds kartēšanas sistēmu</t>
    </r>
  </si>
  <si>
    <t>Radiofrekventā katetra ablācija ar trīsdimensiju potenciālu reģistrācijas lietošanu</t>
  </si>
  <si>
    <t>06063</t>
  </si>
  <si>
    <r>
      <t>Piemaksa par a</t>
    </r>
    <r>
      <rPr>
        <sz val="11"/>
        <color rgb="FFFF0000"/>
        <rFont val="Times New Roman"/>
        <family val="1"/>
        <charset val="186"/>
      </rPr>
      <t>blācijas katetru sirds aritmiju ārstēšanai</t>
    </r>
    <r>
      <rPr>
        <sz val="11"/>
        <rFont val="Times New Roman"/>
        <family val="1"/>
        <charset val="186"/>
      </rPr>
      <t xml:space="preserve">
</t>
    </r>
  </si>
  <si>
    <t>Piemaksa par elektroda endokardiālai izmeklēšanai un katetra ablācijai lietošanu</t>
  </si>
  <si>
    <t>06065</t>
  </si>
  <si>
    <r>
      <t>Piemaksa pie manipulācij</t>
    </r>
    <r>
      <rPr>
        <strike/>
        <sz val="10"/>
        <color theme="1"/>
        <rFont val="Times New Roman"/>
        <family val="1"/>
        <charset val="186"/>
      </rPr>
      <t>ām</t>
    </r>
    <r>
      <rPr>
        <sz val="10"/>
        <color rgb="FFFF0000"/>
        <rFont val="Times New Roman"/>
        <family val="1"/>
        <charset val="186"/>
      </rPr>
      <t>as</t>
    </r>
    <r>
      <rPr>
        <sz val="10"/>
        <color theme="1"/>
        <rFont val="Times New Roman"/>
        <family val="1"/>
        <charset val="186"/>
      </rPr>
      <t xml:space="preserve"> 06061</t>
    </r>
    <r>
      <rPr>
        <strike/>
        <sz val="10"/>
        <color theme="1"/>
        <rFont val="Times New Roman"/>
        <family val="1"/>
        <charset val="186"/>
      </rPr>
      <t>, 06062</t>
    </r>
    <r>
      <rPr>
        <sz val="10"/>
        <color theme="1"/>
        <rFont val="Times New Roman"/>
        <family val="1"/>
        <charset val="186"/>
      </rPr>
      <t xml:space="preserve"> par </t>
    </r>
    <r>
      <rPr>
        <strike/>
        <sz val="10"/>
        <color theme="1"/>
        <rFont val="Times New Roman"/>
        <family val="1"/>
        <charset val="186"/>
      </rPr>
      <t>elektrodu endokardiālai</t>
    </r>
    <r>
      <rPr>
        <sz val="10"/>
        <color theme="1"/>
        <rFont val="Times New Roman"/>
        <family val="1"/>
        <charset val="186"/>
      </rPr>
      <t xml:space="preserve"> </t>
    </r>
    <r>
      <rPr>
        <sz val="10"/>
        <color rgb="FFFF0000"/>
        <rFont val="Times New Roman"/>
        <family val="1"/>
        <charset val="186"/>
      </rPr>
      <t>katetriem intrakardiālai</t>
    </r>
    <r>
      <rPr>
        <sz val="10"/>
        <color theme="1"/>
        <rFont val="Times New Roman"/>
        <family val="1"/>
        <charset val="186"/>
      </rPr>
      <t xml:space="preserve"> </t>
    </r>
    <r>
      <rPr>
        <sz val="10"/>
        <color rgb="FFFF0000"/>
        <rFont val="Times New Roman"/>
        <family val="1"/>
        <charset val="186"/>
      </rPr>
      <t>elektrofizioloģiskai</t>
    </r>
    <r>
      <rPr>
        <sz val="10"/>
        <color theme="1"/>
        <rFont val="Times New Roman"/>
        <family val="1"/>
        <charset val="186"/>
      </rPr>
      <t xml:space="preserve"> izmeklēšanai</t>
    </r>
  </si>
  <si>
    <t>Piemaksa pie manipulācijām 06061, 06062 par elektrodu endokardiālai izmeklēšanai</t>
  </si>
  <si>
    <t>*RAKUS 2024.g. veic 19,17% no PSKUS apjoma</t>
  </si>
  <si>
    <t>20% plānojam no stacionarā apjoma visam izņemot 06062 (to neplānojam DS vispār) un 06068, kam plāno vismaz 700</t>
  </si>
  <si>
    <t>Veikto manipulāciju skaits 2024.gadā</t>
  </si>
  <si>
    <t>Plānotais pacientu skaits</t>
  </si>
  <si>
    <t>Nepieciešamais finansējums ambulatori 2026. gadā, eiro</t>
  </si>
  <si>
    <t>Nepieciešamais finansējums stacionāri 2026.  gadā, eiro</t>
  </si>
  <si>
    <t>Nepieciešamais finansējums kopā 2026.  gadā, eiro</t>
  </si>
  <si>
    <t>Nepieciešamais finansējums ambulatori 2027. gadā, eiro</t>
  </si>
  <si>
    <t>Nepieciešamais finansējums stacionāri 2027.  gadā, eiro</t>
  </si>
  <si>
    <t>Nepieciešamais finansējums kopā 2027. gadā un turpmāk ik gadu, eiro</t>
  </si>
  <si>
    <t>Jaunais iesniegtais nosaukums</t>
  </si>
  <si>
    <t>2026.g. aritmoloģijas kopējais apjoms</t>
  </si>
  <si>
    <t>Dienas stacionārā 2026. gadā</t>
  </si>
  <si>
    <t>Stacionārā 2026.gadā</t>
  </si>
  <si>
    <t>2027.g. aritmoloģijas kopējais apjoms</t>
  </si>
  <si>
    <t>Dienas stacionārā 2027. gadā</t>
  </si>
  <si>
    <t>Stacionārā 2027.gadā</t>
  </si>
  <si>
    <t>1 112</t>
  </si>
  <si>
    <t>1 085</t>
  </si>
  <si>
    <t>1 103</t>
  </si>
  <si>
    <t>Elektroimpulsu plānveida terapija - defibrilācija</t>
  </si>
  <si>
    <t>1 879</t>
  </si>
  <si>
    <t>RAKUS  88 pacienti</t>
  </si>
  <si>
    <t>06051</t>
  </si>
  <si>
    <t>Transezofageāla elektrofizioloģiska izmeklēšana aritmiju diagnostikai</t>
  </si>
  <si>
    <t>06052</t>
  </si>
  <si>
    <t>Transezofageāla elektrokardiostimulācija aritmijas terapijai</t>
  </si>
  <si>
    <t>Vienkameru elektrokardiostimulatora darbības pārbaude un programmēšana</t>
  </si>
  <si>
    <t>RAKUS  15 pacienti</t>
  </si>
  <si>
    <t>Divkameru elektrokardiostimulatora darbības pārbaude un programmēšana</t>
  </si>
  <si>
    <t>2 292</t>
  </si>
  <si>
    <t>RAKUS  55 pacienti</t>
  </si>
  <si>
    <t>Vienkameru ventrikulārā ICD pārbaude un programmēšana</t>
  </si>
  <si>
    <t>RAKUS  2 pacienti</t>
  </si>
  <si>
    <t>Divkameru (DDD) ICD pārbaude un programmēšana</t>
  </si>
  <si>
    <t>RAKUS  12 pacienti</t>
  </si>
  <si>
    <t>06138</t>
  </si>
  <si>
    <t>Endokardiālā elektroda maiņa</t>
  </si>
  <si>
    <t>06139</t>
  </si>
  <si>
    <t>Elektrokardiostimulatora ložas maiņa</t>
  </si>
  <si>
    <t>06140</t>
  </si>
  <si>
    <t>Elektrokardiostimulatora ekstirpācija</t>
  </si>
  <si>
    <t>RAKUS  5 pacienti</t>
  </si>
  <si>
    <t>06150</t>
  </si>
  <si>
    <t>Elektrokardiostimulatora miokardiālā implantācija</t>
  </si>
  <si>
    <t>60075</t>
  </si>
  <si>
    <t>60010</t>
  </si>
  <si>
    <t>Pacienta ārstēšanās dienas stacionārā, izņemot nieru aizstājterapijas, invazīvās kardioloģijas, invazīvās radioloģijas un ķirurģijas un psihiatrijas pakalpojumus (par katru dienu)</t>
  </si>
  <si>
    <t>* Pacientu skaits atbilstoši 2023. gada oficiālajiem statistikas datiem</t>
  </si>
  <si>
    <t>Country</t>
  </si>
  <si>
    <t>DRG code</t>
  </si>
  <si>
    <t>Procedure name</t>
  </si>
  <si>
    <t>Reimb amount, Eur</t>
  </si>
  <si>
    <t>Additional coverage for devices, Eur</t>
  </si>
  <si>
    <t>Total</t>
  </si>
  <si>
    <t>Name of additionally covered devices</t>
  </si>
  <si>
    <t>Poland</t>
  </si>
  <si>
    <r>
      <t>(E43, E46; E47 )</t>
    </r>
    <r>
      <rPr>
        <sz val="11"/>
        <color rgb="FF000000"/>
        <rFont val="Calibri"/>
        <family val="2"/>
      </rPr>
      <t xml:space="preserve">  E48 including 9380 AF</t>
    </r>
  </si>
  <si>
    <t>Atrial fibrillation ablation - isolation of pulmonary veins</t>
  </si>
  <si>
    <t>Estonia</t>
  </si>
  <si>
    <t>112B</t>
  </si>
  <si>
    <t>Percutaneous ablation for cardiac arrhythmia</t>
  </si>
  <si>
    <t>955*</t>
  </si>
  <si>
    <t>DRG 7658 - 3D mapping of the heart</t>
  </si>
  <si>
    <t>Lithuania</t>
  </si>
  <si>
    <t>F42</t>
  </si>
  <si>
    <t>Diseases of the circulatory system in the absence of acute myocardial infarction and invasive cardiac procedures - when the condition is complicated</t>
  </si>
  <si>
    <t>5539*</t>
  </si>
  <si>
    <t>Radiofrequency and/or microwave ablation with three-dimensional intracardiac mapping or thoracoscope-guided minimally invasive therapy</t>
  </si>
  <si>
    <t>Latvia</t>
  </si>
  <si>
    <t>Perkutāna ablācija sirds aritmijas dēļ</t>
  </si>
  <si>
    <t>*3D mapping of the heart</t>
  </si>
  <si>
    <t>sarežģītā</t>
  </si>
  <si>
    <t>The source for the data:</t>
  </si>
  <si>
    <t>vienkāršā</t>
  </si>
  <si>
    <t>LITHUANIA:</t>
  </si>
  <si>
    <t>Additional coverage for the devices: https://www.e-tar.lt/portal/lt/legalAct/e94bd2d05b8211edbc04912defe897d1/asr (see “Consolidated version annexes” on the right)</t>
  </si>
  <si>
    <t>DRG list you can find here: https://ligoniukasa.lrv.lt/lt/veiklos-sritys/gydymo-istaigoms-ir-partneriams/kompensuojamuju-paslaugu-kainos/sveikatos-prieziuros-paslaugu-bazines-kainos/ See “Stacionaro DRG kainos”</t>
  </si>
  <si>
    <t>ESTONIA:</t>
  </si>
  <si>
    <t>DRG list can be found here: https://www.tervisekassa.ee/partnerile/raviasutusele/tervishoiuteenuste-loetelu, see the latest “List of health care services”</t>
  </si>
  <si>
    <t>POLAND:</t>
  </si>
  <si>
    <t>DRG list can be found here: https://baw.nfz.gov.pl/NFZ/document/43180/Zarzadzenie-23_2024_DSOZ</t>
  </si>
  <si>
    <t>LATVIA:</t>
  </si>
  <si>
    <t>DRG list can be found here: https://www.vmnvd.gov.lv/lv/drg-grupas-un-raditaji-maksajuma-aprekinam</t>
  </si>
  <si>
    <t>Rīgas Austrumu klīniskā universitātes slimnīca</t>
  </si>
  <si>
    <t>Paula Stradiņa klīniskā universitātes slimnīca</t>
  </si>
  <si>
    <t>Nieru artērijas denervācija pacientiem ar rezistentu arteriālo hipertensiju</t>
  </si>
  <si>
    <t>Piemaksa par renālās denervācijas daudzsegmentu neokluzīvu spirālveida katetru pacientiem ar rezistentu arteriālo hipertensiju</t>
  </si>
  <si>
    <t>Provizoriskais pacientu skaits 2026. gadā*</t>
  </si>
  <si>
    <t>Nepieciešamais finansējums 2026.gadā, eiro</t>
  </si>
  <si>
    <t>Provizoriskais pacientu skaits 2027. gadā*</t>
  </si>
  <si>
    <t>Nepieciešamais finansējums 2027. gadā un turpmāk ik gadu, eiro</t>
  </si>
  <si>
    <t>Iestādes definējušas apjomus: 2026.g. Paula Stradiņa universitātes slimnīca - 15, Rīgas Austrumu klīniskā universitātes slimnīca -10, 2027.g. Paula Stradiņa universitātes slimnīca - 20, Rīgas Austrumu klīniskā universitātes slimnīca -15</t>
  </si>
  <si>
    <t>Pakalpojumu programmas nosaukums</t>
  </si>
  <si>
    <t>Plānotais pacientu skaits 2025.gadā</t>
  </si>
  <si>
    <t>Līguma summa 2025.
gadam</t>
  </si>
  <si>
    <t>Līgums uz periodu 2025.gada janvāris-
maijs</t>
  </si>
  <si>
    <t>Veiktais darbs uz periodu 2025.gada janvāris-
maijs</t>
  </si>
  <si>
    <t>Pārstrāde (+)/
neizpilde (-)</t>
  </si>
  <si>
    <t>Prognozētā pārstrāde/
neizpilde 2025.gada 12M</t>
  </si>
  <si>
    <t>Faktiskais pacientu skaits 2025.gada 5M</t>
  </si>
  <si>
    <t>Invazīvā kardioloģija dienas stacionārā (Koronārā angioplastija un Koronarogrāfija)</t>
  </si>
  <si>
    <t>Ārstniecības iestādes nosaukums</t>
  </si>
  <si>
    <t>Līguma summa 2025.gadam</t>
  </si>
  <si>
    <t>Viena izmeklējuma vidējā plānotā izmaksa 2025.gadam VALSTĪ, EUR</t>
  </si>
  <si>
    <t>Gaidīšanas rindā esošo pacientu skaits uz 01.04.2025</t>
  </si>
  <si>
    <t>Nepieciešamais papildu finansējums 2026.gadam un turpmāk, EUR</t>
  </si>
  <si>
    <t>Daugavpils reģionālā slimnīca, Sabiedrība ar ierobežotu atbildību</t>
  </si>
  <si>
    <t>Invazīvā kardioloģija dienas stacionārā</t>
  </si>
  <si>
    <t>LIEPĀJAS REĢIONĀLĀ SLIMNĪCA, Sabiedrība ar ierobežotu atbildību</t>
  </si>
  <si>
    <t>Paula Stradiņa klīniskā universitātes slimnīca, Valsts sabiedrība ar ierobežotu atbildību</t>
  </si>
  <si>
    <t>Rīgas 1. slimnīca, Sabiedrība ar ierobežotu atbildību</t>
  </si>
  <si>
    <t>Rīgas Austrumu klīniskā universitātes slimnīca, Sabiedrība ar ierobežotu atbildību</t>
  </si>
  <si>
    <t>33.17.00. Neatliekamās medicīniskās palīdzības nodrošināšana stacionārās ārstniecības iestādēs</t>
  </si>
  <si>
    <t>Ārstniecības iestāde</t>
  </si>
  <si>
    <t>Pakalpojuma programma</t>
  </si>
  <si>
    <t>2024. gada 12M izpildes</t>
  </si>
  <si>
    <t>Pacientu skaits kopā</t>
  </si>
  <si>
    <t>Finansējums, EUR</t>
  </si>
  <si>
    <t>N, EUR</t>
  </si>
  <si>
    <t>P, EUR</t>
  </si>
  <si>
    <t>DRG fiksētais maksājums- plānveida pakalpojumi (Plānveida īslaicīgā ķirurģija. Invazīvā kardioloģija, Plānveida koronārā angiogrāfija, Plānveida perkutāna koronārā intervence ar angioplastiju, Plānveida perkutāna koronārā intervence ar stentu sistēmas implantāciju, Plānveida perkutāna koronārā intervence ar stentu sistēmas implantāciju, izmantojot papildus revaskularizācijas ierīces)</t>
  </si>
  <si>
    <t>DRG fiksētais maksājums- plānveida pakalpojumi (Plānveida koronārā angiogrāfija, Plānveida perkutāna koronārā intervence ar angioplastiju	, Plānveida perkutāna koronārā intervence ar stentu sistēmas implantāciju, Plānveida perkutāna koronārā intervence ar stentu sistēmas implantāciju, izmantojot papildus revaskularizācijas ierīces)</t>
  </si>
  <si>
    <t>Liepājas reģionālā slimnīca</t>
  </si>
  <si>
    <t>Daugavpils reģionālā slimnīca</t>
  </si>
  <si>
    <t>2024.g. Līgumā esošo pacientu skaits DRG fiksētais maksājums- plānveida pakalpojumi (Plānveida īslaicīgā ķirurģija. Invazīvā kardioloģija)</t>
  </si>
  <si>
    <t>Plānveida koronārā angiogrāfija</t>
  </si>
  <si>
    <t>Plānveida perkutāna koronārā intervence ar angioplastiju</t>
  </si>
  <si>
    <t>Plānveida perkutāna koronārā intervence ar stentu sistēmas implantāciju</t>
  </si>
  <si>
    <t>Plānveida perkutāna koronārā intervence ar stentu sistēmas implantāciju, izmantojot papildus revaskularizācijas ierīces</t>
  </si>
  <si>
    <t>Pacientu skaita plānotais pieaugums</t>
  </si>
  <si>
    <t>Tarifs, EUR 2025*</t>
  </si>
  <si>
    <t>Summa EUR</t>
  </si>
  <si>
    <t>Nepieciešamais finansējums 2026.g. un turpmāk, eiro</t>
  </si>
  <si>
    <t xml:space="preserve">Pacientu skaita pieaugums***, % </t>
  </si>
  <si>
    <t>*Atšķirību PSKUS un RAKUS tarifos veido bāzes tarifs un CMI (ārstniecības iestādes veiktā darba (sarežģītības) indekss)</t>
  </si>
  <si>
    <t>**(ne vairāk kā 30% no plānotā pacientu skaita līgumā)</t>
  </si>
  <si>
    <t>Transkatetrālā vārstuļa (pulmonālā, trikuspidālā, mitrālā) intervence ar implantu *</t>
  </si>
  <si>
    <t>06204</t>
  </si>
  <si>
    <t>Transkatetrālā aortas vārstuļa implantācija (iekļauti anesteziologa pakalpojumi)</t>
  </si>
  <si>
    <t>Programmas nosaukums</t>
  </si>
  <si>
    <t>Vidējās izmaksas uz vienu pacientu, EUR</t>
  </si>
  <si>
    <t>Pacienta līdzmaksājums, EUR</t>
  </si>
  <si>
    <t>Esošais pacientu skaits stacionārā 2024. gadā</t>
  </si>
  <si>
    <t>Plānotais pacientu skaits 2026. gadā</t>
  </si>
  <si>
    <t>Finansējuma sadalījums pa apakšprogrammām 2026. gadā, EUR</t>
  </si>
  <si>
    <t>Plānotais pacientu skaits 2027. gadā</t>
  </si>
  <si>
    <t>Papildus nepieciešamais finansējums 2026. gadā, eiro</t>
  </si>
  <si>
    <t>Papildus nepieciešamais finansējums 2027. gadā, eiro</t>
  </si>
  <si>
    <t>Finansējuma sadalījums pa apakšprogrammām 2027. gadā, EUR</t>
  </si>
  <si>
    <t>Aortālā vārstuļa transkatetrāla implantācija (TAVI)</t>
  </si>
  <si>
    <t>Manipulācijai 06204 Latvijas Kardiologu biedrība plāno 200 pacientus 2026. gadā un 250 pacientus 2027. gadā.</t>
  </si>
  <si>
    <t>Jauna, tarifs no 0.4/0.6 attiecības</t>
  </si>
  <si>
    <t>Perkutāni implantējama sirds kreisā kambara mehāniskas palīgcirkulācijas iekārta</t>
  </si>
  <si>
    <t>Manipulācijas papildu apzīmējums</t>
  </si>
  <si>
    <t>Pacienta līdmaksājums, eiro*</t>
  </si>
  <si>
    <t>Provizoriskais pacientu skaits 2026. gadā</t>
  </si>
  <si>
    <t>Nepieciešamais finansējums 2026. gadā, EUR</t>
  </si>
  <si>
    <t>Provizoriskais pacientu skaits 2027. gadā un turpmāk</t>
  </si>
  <si>
    <t>Nepieciešamais finansējums 2027. gadā un tupmāk, EUR</t>
  </si>
  <si>
    <t>**</t>
  </si>
  <si>
    <t>* Samaksa par manipulāciju tiek veikta, ja to norāda VSIA "Paula Stradiņa klīniskā universitātes slimnīca" vai SIA "Rīgas Austrumu klīniskā universitātes slimnīca" vai SIA "Daugavpils reģionālā slimnīca"</t>
  </si>
  <si>
    <t>2027. gadā uzsāk RAKUS un DRS</t>
  </si>
  <si>
    <t>Plānots, ka PSKUS 2026.g. 20 veiks, PSKUS 2027.g. 25 veiks un 5 RAKUS un 5 DRS</t>
  </si>
  <si>
    <t>Pielikums Nr.</t>
  </si>
  <si>
    <t>Sabiedrības informēšanas pasākumi pacientu līdzestības dienā par regulāras paškontroles veikšanu SAS profilaksei un negatīvās ietekmes uz veselību mazināšanai</t>
  </si>
  <si>
    <t>2026.gads*</t>
  </si>
  <si>
    <t>2027.gads*</t>
  </si>
  <si>
    <t>*Eiropas Sociālā fonda (ESF+) finansējums, 2021.-2027.gada plānošanas perioda Darbības programmas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pasākums "Pilnveidot pacientu drošību un aprūpes kvalitāti"</t>
  </si>
  <si>
    <t>Plānotie nodevumi</t>
  </si>
  <si>
    <t>Plānoto nodevumu skaits</t>
  </si>
  <si>
    <t>Vienas vienības summa bez PVN, euro</t>
  </si>
  <si>
    <t>KOPĀ bez PVN, euro</t>
  </si>
  <si>
    <t>PVN likme (%)</t>
  </si>
  <si>
    <t>Vienas vienības summa ar PVN, euro</t>
  </si>
  <si>
    <t>KOPĀ ar PVN, euro*</t>
  </si>
  <si>
    <t xml:space="preserve">Sabiedrības informēšanas pasākumi </t>
  </si>
  <si>
    <t>Algoritmi</t>
  </si>
  <si>
    <t>Algoritms</t>
  </si>
  <si>
    <t>Ceļš</t>
  </si>
  <si>
    <t>Indikators</t>
  </si>
  <si>
    <t xml:space="preserve">Izstrādāti vienoti doplerogrāfijas (galvas, kakla un kāju asinsvadiem) izmeklējumu apraksti un pacientu ceļi </t>
  </si>
  <si>
    <t xml:space="preserve">Izstrādāts klīniskais algoritms un pacientu ceļš perifēro artēriju slimību, kakla asinsvadu aterosklerozes un aortas aneirismu diagnostikai </t>
  </si>
  <si>
    <t>Izstrādāti un apstiprināti cukura diabēta klīniskie algoritmi un pacientu ceļi dinamiskai novērošanai</t>
  </si>
  <si>
    <t>Izstrādāts pacientu ceļš cukura diabētu komplikāciju diagnostikai un aprūpei (asv., neiroloģiskās, acis)</t>
  </si>
  <si>
    <t>Izstādāts hroniskas nieru slimības skrīningā atklāto gadījumu tālākas uzraudzības algoritms</t>
  </si>
  <si>
    <t>Izstādāts hroniskas nieru slimības skrīningā atklāto gadījumu tālākas uzraudzības algoritms, nodalot ārstniecības personu kompetences, pacientu plūsmas un pacientu uzraudzības atbildības, kā arī veicinot PVA iesaisti.</t>
  </si>
  <si>
    <t>nav</t>
  </si>
  <si>
    <t>VM īstenotā ESF+ projekts Nr. 4.1.2.6/1/24/I/001 "Izglītības iespēju nodrošināšana ārstniecībā iesaistītām personām”)</t>
  </si>
  <si>
    <t>Organizēta informatīvs pasākums pacientu līdzestības veicināšanai</t>
  </si>
  <si>
    <t xml:space="preserve">Pacientiem skaidrota viņu loma ārstēšanas procesā, akcentējot veselības ilgtermiņa ieguvumus no pacienta līdzestības  </t>
  </si>
  <si>
    <t>Informatīvs pasākums</t>
  </si>
  <si>
    <t>Apmācīti Rīgā un reģionos vismaz 100 administratīvās un ārstniecības personas un aktualizētas metodiskās rekomendācijas</t>
  </si>
  <si>
    <t>Seminārs</t>
  </si>
  <si>
    <t>Veikts 1000 nejauši atlasītu nāves cēloņa medicīnisko apliecību kvalitātes kontroles pētījums par laika periodu 2026.gada 1.janvāris – 30.jūnijs un sniegti priekšlikumi pareiza (precizētā) nāves cēloņa formulēšanai</t>
  </si>
  <si>
    <t>Finansējums ar PVN, euro</t>
  </si>
  <si>
    <t>* cenai piemērots koeficients 1.05, jo ik gadu pieaug gripas vakcīnas cena</t>
  </si>
  <si>
    <t>Bāzes finansējums</t>
  </si>
  <si>
    <t>46.03.00 "Slimību profilakses nodrošināšana"</t>
  </si>
  <si>
    <t xml:space="preserve"> ESF+ projekts Nr. 4.1.2.7. pasākums "Pilnveidot pacientu drošību un aprūpes kvalitāti"</t>
  </si>
  <si>
    <t>Esošā budžeta ietvaros</t>
  </si>
  <si>
    <t>Papildus nepieciešamais finansējums 2026. gadā, ja atsaucība ir 50 %, euro</t>
  </si>
  <si>
    <t>Papildus nepieciešamais finansējums 2027. gadā, ja atsaucība ir 55 %, euro</t>
  </si>
  <si>
    <t>Cukura diabēta un prediabēta skrīninga programmas paplašinājums</t>
  </si>
  <si>
    <t>Valsts apmaksāto devu skaitu riska grupu vakcinācijai pret gripu pieejamības nodrošināšana</t>
  </si>
  <si>
    <t>* 2024. gadā Lipoproteīna (a) analīze veikta 88 reizes</t>
  </si>
  <si>
    <t>Papildus nepieciešamais finansējums 2029.gadā, euro</t>
  </si>
  <si>
    <t>Papildus nepieciešamais finansējums 2028.gadā un turpmāk ik gadu, euro</t>
  </si>
  <si>
    <t>Pielikums Nr.2.1.4.1.</t>
  </si>
  <si>
    <t>Pielikums Nr.2.1.2.2.</t>
  </si>
  <si>
    <t>Pielikums Nr.2.1.2.1.</t>
  </si>
  <si>
    <t>Pielikums Nr.1.1.4.</t>
  </si>
  <si>
    <t>Pielikums Nr.1.1.2.</t>
  </si>
  <si>
    <t>Pielikums Nr.2.1.4.2.</t>
  </si>
  <si>
    <t>Izmaksas 2026.gadā</t>
  </si>
  <si>
    <t>Izmaksas 2027. gadā un turpmāk ik gadu</t>
  </si>
  <si>
    <t>Pielikums Nr.2.1.5.1.</t>
  </si>
  <si>
    <t>Pielikums Nr.2.1.5.2.</t>
  </si>
  <si>
    <t>Nodrošināts valsts apmaksāts kardiopulmonālā testa izmeklējums</t>
  </si>
  <si>
    <t>Nodrošināts valsts apmaksāts 18-24h asinsspiediena monitorēšanas pakalpojums</t>
  </si>
  <si>
    <t>5 000 pacientu saņēmuši hroniskas slimības intensificētu dinamisko novērošanu</t>
  </si>
  <si>
    <t>Pielikums Nr.2.2.1.</t>
  </si>
  <si>
    <t>2500 pacienti saņēmuši elektrokardiostimulatora darbības pārbaudi un programmēšanu</t>
  </si>
  <si>
    <t>5 000 pacientiem vismaz 1 reizi pēc simptomātiska insulta vai tranzitoras išēmiskas lēkmes saņemta neirologa konsultācija un veikta neirosonoloģiskā izmeklēšana</t>
  </si>
  <si>
    <t>Nodrošināta hronisko pacientu dinamiskā novērošana ar hronisku slimību slimojošiem pacientiem pēc akūta notikuma vai intervences</t>
  </si>
  <si>
    <t>Pielikums Nr.2.2.2.</t>
  </si>
  <si>
    <t>Pielikums Nr.2.2.4.1.</t>
  </si>
  <si>
    <t>Pielikums Nr.2.2.4.2.</t>
  </si>
  <si>
    <t xml:space="preserve"> Ieviesta hroniskas nieru slimības diagnostika cukura diabēta un arteriālās hipertensijas pacientiem PVA</t>
  </si>
  <si>
    <r>
      <t>Papildus nepieciešamais finansējums 2026. gadā, ja atsaucība ir 50 %</t>
    </r>
    <r>
      <rPr>
        <vertAlign val="superscript"/>
        <sz val="11"/>
        <color rgb="FF000000"/>
        <rFont val="Times New Roman"/>
        <family val="1"/>
        <charset val="186"/>
      </rPr>
      <t>6</t>
    </r>
    <r>
      <rPr>
        <sz val="11"/>
        <color rgb="FF000000"/>
        <rFont val="Times New Roman"/>
        <family val="1"/>
        <charset val="186"/>
      </rPr>
      <t>, euro</t>
    </r>
  </si>
  <si>
    <r>
      <t>Papildus nepieciešamais finansējums 2027. gadā, ja atsaucība ir 55 %</t>
    </r>
    <r>
      <rPr>
        <vertAlign val="superscript"/>
        <sz val="11"/>
        <color rgb="FF000000"/>
        <rFont val="Times New Roman"/>
        <family val="1"/>
        <charset val="186"/>
      </rPr>
      <t>6</t>
    </r>
    <r>
      <rPr>
        <sz val="11"/>
        <color rgb="FF000000"/>
        <rFont val="Times New Roman"/>
        <family val="1"/>
        <charset val="186"/>
      </rPr>
      <t>, euro</t>
    </r>
  </si>
  <si>
    <r>
      <t>Papildus nepieciešamais finansējums 2028. gadā un turpmāk ik gadu, ja atsaucība ir 60 %</t>
    </r>
    <r>
      <rPr>
        <vertAlign val="superscript"/>
        <sz val="11"/>
        <color rgb="FF000000"/>
        <rFont val="Times New Roman"/>
        <family val="1"/>
        <charset val="186"/>
      </rPr>
      <t>6</t>
    </r>
    <r>
      <rPr>
        <sz val="11"/>
        <color rgb="FF000000"/>
        <rFont val="Times New Roman"/>
        <family val="1"/>
        <charset val="186"/>
      </rPr>
      <t>, euro</t>
    </r>
  </si>
  <si>
    <t>Pielikums Nr.2.2.6.</t>
  </si>
  <si>
    <t>Pielikums Nr.2.3.1..-2.3.1.3.,2.3.2.-2.3.5.</t>
  </si>
  <si>
    <t>Pilnveidotas veselības aprūpes speciālistu zināšanas PVA un SAVA cukura diabēta slimības novērošanai, komplikāciju diagnostikā un ārstēšanā, kā arī hronisku nieru slimības tālākai uzraudzībai, lai optimizētu pacientu plūsmu pie speciālistiem</t>
  </si>
  <si>
    <t>VI, LNB</t>
  </si>
  <si>
    <t>Uzlabot antikoagulantu TOAK pieejamību pacientiem ar perifēro asinsvadu saslimšanās komplikāciju attīstības novēršanai un uzlabot glikozes līmeņa monitorēšanu I tipa cukura diabēta pacientiem no 18 līdz 24 gadu vecumam, kā arī  pacientiem ar smagām un/ vai biežām hipoglikēmijām, labilu diabēta gaitu, nopietnām diabēta vēlīnām komplikācijām</t>
  </si>
  <si>
    <t>Veikta esošo insulta vienību kvalitātes prasību izpildes tematiskā pārbaude:
1.	Insultu vienību pieejamības/sasniedzamības analīze; 
2.	Insulta vienību kvalitātes prasību izpildes audits, ar mērķi uzlabot to darbu un sniegtās specializētās terapijas kvalitāti;
3.	Medicīnisko tehnoloģiju nodrošinājuma analīze</t>
  </si>
  <si>
    <t>Realizēts insulta vienību audits, izstrādāti un VM iesniegti priekšlikumi par nepieciešamajām izmaiņām, kā arī sagatavots cerebrālo asinsvadu slimību invazīvās ārstēšanas rīcības algoritms.</t>
  </si>
  <si>
    <t>Īstenot veselības veicināšanas un slimību profilakses pasākumus, lai mazinātu SAS riska faktorus, ievērojot veselīgu dzīvesveidu.  </t>
  </si>
  <si>
    <t>Veicināta Latvijas iedzīvotāju veselību ietekmējošo paradumu maiņa, mazinot SAS riska faktorus. </t>
  </si>
  <si>
    <t>Īstenots vismaz viens veselības veicināšanas un slimību profilakses pasākums gadā (piemēram, tiešsaistes diskusija ar veselības jomas speciālistiem, tematiskās dienas aktivitātes u.tml.) SAS riska faktoru novēršanai un veselīga dzīvesveida veicināšanai.  </t>
  </si>
  <si>
    <t xml:space="preserve">Pilnveidot komunikāciju ar sabiedrību par veselīga dzīvesveida nozīmi ikdienā un SAS attīstības riskiem (t.sk. infarkta vai insulta pazīmju atpazīšana, riska faktori, diabētu veicinošie faktori u.c.) un to novēršanu.      </t>
  </si>
  <si>
    <t xml:space="preserve">Palielinājusies zinātnē balstītas informācijas par veselīgu dzīvesveidu un SAS riska faktoriem izmantošana Latvijas iedzīvotāju vidū. </t>
  </si>
  <si>
    <t>Pilnveidoti komunikācijas kanāli (piemēram, tīmekļa vietnes) ar veselību saistītas informācijas pieejamības, atpazīstamības un uzticamības uzlabošanai, kā arī iedzīvotāju izpratnes par SAS riska faktoru ierobežošanas un veselīga dzīvesveida nozīmi veicināšanai.</t>
  </si>
  <si>
    <t>2.1.1.</t>
  </si>
  <si>
    <t>Pilnveidot kardiovaskulārā riska noteikšanu PVA</t>
  </si>
  <si>
    <t>2.1.1.1.Pārskatīts esošā SCORE algoritms PVA un izstrādāts SCORE algoritms atbilstoši aktualizētajam SCORE2 algoritmam (augsta riska mirstības valstīm)</t>
  </si>
  <si>
    <t>Izstrādāts aktualizēts algoritms lietošanai PVA un rekomendācijas SCORE ieviešanai</t>
  </si>
  <si>
    <t xml:space="preserve">2.1.1.2. Palielināta pacientu iesaiste SCORE programmas veikšanā </t>
  </si>
  <si>
    <t xml:space="preserve">Izstrādāts pasākumu plāns pacientu iesaistīšanā SCORE noteikšanā, tostarp izvērtētas iespējas izmantot digitālos rīkus                                               </t>
  </si>
  <si>
    <t>MVI KJ</t>
  </si>
  <si>
    <t xml:space="preserve">LĢĀA, LLĢĀA, LKB
</t>
  </si>
  <si>
    <t>SPKC, NVD, LDVC</t>
  </si>
  <si>
    <t>Pacientu organizācija “parsirdi.lv”, SIFFA, LĢĀA, LLĢĀA</t>
  </si>
  <si>
    <t>2025. gada II pusgads</t>
  </si>
  <si>
    <t>27 430 pacientiem vecumā no 35-39 gadiem veikts cukura diabēta skrīnings (2026. gads); 
34 600 pacientiem vecumā no 35-39 gadiem veikts cukura diabēta skrīnings (2027.gads); 
41 771 pacientiem vecumā no 35-39 gadiem veikts cukura diabēta skrīnings (2028.gads).</t>
  </si>
  <si>
    <t xml:space="preserve">Veikti grozījumi Ministru kabineta noteikumos Nr. 219 “Kārtība, kādā veicama obligātā veselības pārbaude”  </t>
  </si>
  <si>
    <t>Veicināt ģimenes hiperholesterinēmijas un citu smagu primāru vai komplicētu hiperlipidēmiju pacientu novērtēšanu, diagnostiku, uzraudzību, uzskaiti, ārstēšanu un kaskādes skrīninga organizēšanu</t>
  </si>
  <si>
    <t xml:space="preserve">2.1.4.1. Ieviest valsts apmaksātu lipoproteīna (a) noteikšanu pacientiem no 40-75 gadiem vienreiz mūžā	</t>
  </si>
  <si>
    <t>Noteikts lipoproteīns (a) 266 915 pacientiem no 40-75 gadiem (2026.gads); 
Noteikts lipoproteīns (a) 191 927 pacientiem no 40-75 gadiem (2027.gads); 
Noteikts lipoproteīns (a) 140 441 pacientiem no 40-75 gadiem (2028.gads).</t>
  </si>
  <si>
    <t>Lipoproteīna (a) noteikšana pacientiem no 40-75 gadiem vienreiz mūžā</t>
  </si>
  <si>
    <t>2.1.4.2. Attīstīts ģimenes hiperholisterinēmijas komandas pakalpojums</t>
  </si>
  <si>
    <t>Attīstīts ģimenes hiperholisterinēmijas komandas pakalpojums</t>
  </si>
  <si>
    <t xml:space="preserve">2.1.5.1. Nodrošināta SAVA diagnostikas (veloergometrijas, ehokardiogrāfijas) apmaksa atbilstoši faktiskajām izmaksām </t>
  </si>
  <si>
    <t>Pārskatīti SAS diagnostikas (veloergometrijas, ehokardiogrāfijas) izmeklējumu tarifi. 
2026.gadā un turpmāk ik gadu - stacionārā - 20 798 pacientiem un ambulatori - 105 964 pacientiem veikti izmeklējumi</t>
  </si>
  <si>
    <t xml:space="preserve">Nodrošināta SAVA diagnostikas (veloergometrijas, ehokardiogrāfijas) apmaksa atbilstoši faktiskajām izmaksām </t>
  </si>
  <si>
    <t xml:space="preserve">2.1.5.2. Definēta pacientu plūsma un uzlabota kvalitāte doplerogrāfijas izmeklējuma saņemšanai </t>
  </si>
  <si>
    <t>VM, NVD,  MVI KJ, LĀB</t>
  </si>
  <si>
    <t>LDVC, LAĶB</t>
  </si>
  <si>
    <t>2.1.5.3.Definēta pacientu plūsma ehokardiogrāfijas izmeklējumu saņemšanai</t>
  </si>
  <si>
    <t>Attīstīt rezistentas arteriālās hipertensijas diagnostiku</t>
  </si>
  <si>
    <t>2.1.8.</t>
  </si>
  <si>
    <t>Veicināt sirds un plaušu slimību diagnostiku</t>
  </si>
  <si>
    <t>Pielikums Nr.2.1.6.</t>
  </si>
  <si>
    <t>Pielikums Nr.2.1.7.</t>
  </si>
  <si>
    <t>Pielikums Nr.2.1.8.</t>
  </si>
  <si>
    <t xml:space="preserve">Nodalīts PVA un SAVA pacientu plūsma perifēro artēriju slimības, kakla asinsvadu aterosklerozes un aortas aneirismu diagnostikā </t>
  </si>
  <si>
    <t xml:space="preserve">Ieviest akūtu notikumu ārstēšanas nepārtrauktību, nodrošinot stacionāros ārstēto pacientu pēctecīgu ārstēšanu ambulatorā sektorā </t>
  </si>
  <si>
    <t>Īstenots SAS hronisku pacientu pilotprojekts piecās ārstniecības iestādēs intensificētas dinamiskās novērošanas efektivitātes izvērtēšanai un hronisko pacientu dinamiskā novērošana pēc akūta notikuma vai vaskulāras intervences</t>
  </si>
  <si>
    <t>MVI KJ, LNB, LAĶB</t>
  </si>
  <si>
    <t xml:space="preserve">Uzlabota cukura diabēta pacientu dinamiskā novērošana
</t>
  </si>
  <si>
    <t>Noteiktas ģimenes ārsta un endokrinologa kompetences jomas, kā arī definēti kritēriji komplicētu pacientu identifikācijai, balstoties uz klīniskiem kritērijiem, esošām blakus slimībām (SAS un nieru slimības) un saņemtās terapijas</t>
  </si>
  <si>
    <t>Izstrādāti un apstiprināti cukura diabēta klīniskie algoritmi, pacientu ceļi un kvalitātes indikatori dinamiskai novērošanai</t>
  </si>
  <si>
    <t xml:space="preserve">Savlaicīgi atklāt ar cukura diabētu saistītos komplikāciju riskus
</t>
  </si>
  <si>
    <t>2.2.3.1.Uzlabota cukura diabēta komplikāciju savlaicīga atklāšana un ārstēšana</t>
  </si>
  <si>
    <t>Pielikums Nr.2.2.3.1.</t>
  </si>
  <si>
    <t>2.2.3.2. Uzlabota cukura diabēta acu komplikāciju savlaicīga atklāšana un ārstēšana</t>
  </si>
  <si>
    <t>Izstrādāts klīniskais algoritms, kvalitātes indikatori, pacientu ceļš cukura diabētu komplikāciju diagnostikai un aprūpei (asinsvadu, neiroloģiskai, acu)</t>
  </si>
  <si>
    <t>Izstrādāts klīniskais algoritms, kvalitātes indikatori un pacienta ceļš diabētiskās pēdas un trofisko čūlu aprūpei</t>
  </si>
  <si>
    <t>200 pacienti saņēmuši intravitreālās injekcijas (2026.gads); 
300 pacienti saņēmuši intravitreālās injekcijas (2027.gads); 
350 pacienti saņēmuši intravitreālās injekcijas (2028.gads).</t>
  </si>
  <si>
    <t>Pielikums Nr.2.2.3.3.</t>
  </si>
  <si>
    <t>Pielikums Nr.2.2.3.2.</t>
  </si>
  <si>
    <t xml:space="preserve">Ieviest hroniskas nieru slimības diagnostika cukura diabēta un arteriālās hipertensijas pacientiem PVA </t>
  </si>
  <si>
    <t>2.2.4.1. Cukura diabēta un arteriālās hipertensijas pacientiem vismaz 1xgadā noteikts kreatinīns (t.sk. glomerulu filtrācijas ātrums) un veikta urīna analīze, kur noteikta mikroalbumīnūrijas klātesamība</t>
  </si>
  <si>
    <t xml:space="preserve">2.2.4.2. Veicināta PVA iesaiste un nodalītas ārstniecības personu kompetences hroniskas nieru slimības diagnostikā </t>
  </si>
  <si>
    <t xml:space="preserve">50% aptvere riska grupas pacientiem hroniskas nieru slimības (2026.gads); 
55% aptvere riska grupas pacientiem hroniskas nieru slimības (2027.gads); 
60% aptvere riska grupas pacientiem hroniskas nieru slimības (2028.gads). </t>
  </si>
  <si>
    <t xml:space="preserve">Izstrādāts hroniskas nieru slimības skrīningā atklāto gadījumu tālākas uzraudzības algoritms, kvalitātes indikatori un pacienta ceļš </t>
  </si>
  <si>
    <t>Uzlabot perifēro asinsvadu saslimšanu dinamisko novērošanu</t>
  </si>
  <si>
    <t xml:space="preserve">Nodalītas PVA un SAVA pacientu plūsmas perifēro artēriju slimības, kakla asinsvadu aterosklerozes un aortas aneirismu dinamiskā novērošanā </t>
  </si>
  <si>
    <t>Pielikums Nr.2.2.5.</t>
  </si>
  <si>
    <t>Veicināt pacientu līdzestību hronisku slimību (īpaši, SAS) slimību dinamiskā novērošanā un medikamentu lietošanā</t>
  </si>
  <si>
    <t xml:space="preserve">Palielinājusies pacientu izpratne par viņu līdzestības nozīmi ārstēšanas procesā, akcentējot veselības ilgtermiņa ieguvumus no pacienta līdzestības                                                                              </t>
  </si>
  <si>
    <t>Organizēts vismaz viens informatīvs pasākums 1xgadā pacientu līdzestības veicināšanai</t>
  </si>
  <si>
    <t>Izvērtēt telemedicīnas izmantošanu pacientu līdzestības veicināšanai SAS un to saistīto saslimšanu uzraudzībā</t>
  </si>
  <si>
    <t>2.2.7.1. Veikta analīze par esošajiem telemedicīnas pakalpojumiem līdzestības veicināšanā SAS pacientiem</t>
  </si>
  <si>
    <t>2.2.7.2. Attīstīti jauni telemedicīnas pakalpojumi, tostarp arī aplikācijas pacientu izglītošanai un līdzestības veicināšanai SAS un to saistīto saslimšanu uzraudzībā</t>
  </si>
  <si>
    <t>Sniegti priekšlikumi par  telemedicīnas pakalpojumu izmantošanu pacienta līdzestības veicināšanai SAS un to saistīto saslimšanu uzraudzībā</t>
  </si>
  <si>
    <t>Uzlabot antikoagulantu TOAK pieejamību pacientiem ar perifēro asinsvadu saslimšanām komplikāciju attīstības novēršanai</t>
  </si>
  <si>
    <t xml:space="preserve">2.3.1.1. Kompensēti antikoagulanti TOAK pacientiem pēc asinsvadu revaskularizācijas 3 mēnešus </t>
  </si>
  <si>
    <t xml:space="preserve">2.3.1.2. Kompensēti antikoagulanti pacientiem ar dziļo vēnu trombozi 3-6 mēnešus </t>
  </si>
  <si>
    <t xml:space="preserve">475 pacientiem kompensēts antikoagulants 12 mēnešus (2026.gads); 
949 pacientiem kompensēts antikoagulants 12 mēnešus (2027.gads un turpmāk ik gadu).
</t>
  </si>
  <si>
    <t>969 pacientiem kompensēts antikoagulants 3 mēnešus (2026.gads); 
1 453 pacientiem kompensēts antikoagulants 3 mēnešus (2027.gads); 
1 938 pacientiem kompensēts antikoagulants 3 mēnešus (2028.gads un turpmāk ik gadu).</t>
  </si>
  <si>
    <t>1 750 pacientiem kompensēts antikoagulants 3 mēnešus pēc asinsvadu revaskularizācijas (2026.gads); 
3 500 pacientiem kompensēts antikoagulants 3 mēnešus pēc asinsvadu revaskularizācijas (2027.gads un turpmāk ik gadu).</t>
  </si>
  <si>
    <t xml:space="preserve">Kompensēt sirds glikozīdus mirdzaritmijas pacientiem, ja nevar ar cita veida medikamentiem panākt normosistoliju </t>
  </si>
  <si>
    <t>Nepieciešams kompensēt antikoagulantus pacientiem ar PATE (plaušu trombemboliju) 12 mēnešu garumā</t>
  </si>
  <si>
    <t>Uzlabot mirdzaritmijas pacientu aprūpi</t>
  </si>
  <si>
    <t>2026.gadā - 3 967 pacientiem, 2027.gadā - 7 934 pacientiem, 2028.gadā un turpmāk ik gadu - 7 934 pacientiem pacientiem kompensēts sirds glikozīdus mirdzaritimijas pacientiem, ja nevar ar cita veida medikamentiem panākt normosistoliju</t>
  </si>
  <si>
    <r>
      <t xml:space="preserve">Kompensēt sirds glikozīdus </t>
    </r>
    <r>
      <rPr>
        <sz val="12"/>
        <color theme="1"/>
        <rFont val="Times New Roman"/>
        <family val="1"/>
        <charset val="186"/>
      </rPr>
      <t>mirdzaritmijas pacientiem, ja nevar ar cita veida medikamentiem panākt normosistoliju</t>
    </r>
  </si>
  <si>
    <t>Uzlabota SAS un to saistīto slimību slimojošo pacientu līdzestība medikamentu lietošanā</t>
  </si>
  <si>
    <t xml:space="preserve">504 402 pacientu skaits, kam nodrošināta 100% kompensācija
</t>
  </si>
  <si>
    <t xml:space="preserve">Veicināt jauniešu (18-24 gadu vecumam) iesaisti I tipa cukura diabēta dinamiskā novērošanā </t>
  </si>
  <si>
    <t xml:space="preserve">Apmaksāta nepārtrauktās glikozes līmeņa noteikšanas sistēma pacientiem pēc 18 gadu vecuma (līdz 24 gadu vecumam (ieskaitot), kas lieto nepārtrauktās glikozes līmeņa noteikšanas sistēmu vai/un insulīna sūkņus līdz 18 gadu vecumam </t>
  </si>
  <si>
    <t>150 pacientiem no 18-24 gadu vecuma apmaksāta  nepārtrauktās glikozes līmeņa noteikšanas sistēma</t>
  </si>
  <si>
    <t xml:space="preserve">Veicināt I tipa cukura diabēta pacientu ar smagām un/ vai biežām hipoglikēmijām, labilu diabēta gaitu, nopietnām diabēta vēlīnām komplikācijām iesaisti I tipa cukura diabēta dinamiskā novērošanā </t>
  </si>
  <si>
    <t>Apmaksāta nepārtrauktās glikozes līmeņa noteikšanas sistēma pacientiem cukura diabēta pacientiem ar smagām un/ vai biežām hipoglikēmijām, labilu diabēta gaitu, nopietnām diabēta vēlīnām komplikācijām</t>
  </si>
  <si>
    <t>500 pacientiem apmaksāta  nepārtrauktās glikozes līmeņa noteikšanas sistēma</t>
  </si>
  <si>
    <t>Realizēts insulta vienību audits, izstrādāti un VM iesniegti priekšlikumi par nepieciešamajām izmaiņām</t>
  </si>
  <si>
    <t>Audits</t>
  </si>
  <si>
    <t>Pielikums Nr.2.4.1.</t>
  </si>
  <si>
    <t>Īstenota esošo insulta vienību kvalitātes prasību izpildes tematiskā pārbaude ar mērķi uzlabot to darbu un sniegtās specializētās terapijas kvalitāti. Audita ietvarā veikti:
1.	Insultu vienību pieejamības/sasniedzamības analīze; 
2.	Insulta vienību kvalitātes prasību izpildes audits, ar mērķi uzlabot to darbu un sniegtās specializētās terapijas kvalitāti;
3.	Medicīnisko tehnoloģiju nodrošinājuma analīze</t>
  </si>
  <si>
    <t>*Eiropas Sociālā fonda (ESF+) finansējums, 2021.-2027.gada plānošanas perioda Darbības programmas 4.1.2. SAM “Uzlabot vienlīdzīgu un savlaicīgu piekļuvi kvalitatīviem, ilgtspējīgiem un izmaksu ziņā pieejamiem veselības aprūpes, veselības veicināšanas un slimību profilakses pakalpojumiem, uzlabojot veselības aprūpes sistēmu efektivitāti un izturētspēju”  4.1.2.7. pasākums "Pilnveidot pacientu drošību un aprūpes kvalitāti"</t>
  </si>
  <si>
    <t xml:space="preserve">2.4.2.3. Veicināta vienota rīcība akūta koronāra sindroma gadījumā </t>
  </si>
  <si>
    <t>Atjaunoti 2019. gadā publicētie klīniskie algoritmi un pacientu ceļi SAS jomā</t>
  </si>
  <si>
    <t>Pilnveidotas NMP dienestā izstrādātās procedūras un metodiskie ieteikumi pacientiem ar aizdomām par akūtu koronāru sindromu</t>
  </si>
  <si>
    <t xml:space="preserve">Atjaunotas NMP, slimnīcu uzņemšanas un citās nodaļās izstrādātās procedūras, metodiskās rekomendācijas </t>
  </si>
  <si>
    <t>Mazināt insulta attīstības risku Latvijas iedzīvotājiem</t>
  </si>
  <si>
    <t>2.4.3.2. Pārskatīti radiofrekventās katetra ablācijas tarifi un diagnostikas manipulācijas aritmijas diagnostikai atbilstoši faktiskajām izmaksām</t>
  </si>
  <si>
    <t>Veiktas 8113 intervences kardioloģiskiem pacientiem ar sirds ritma traucējumiem (2026.gads); 
Veiktas 8550 intervences kardioloģiskiem pacientiem ar sirds ritma traucējumiem (2027.gads un turpmāk ik gadu).</t>
  </si>
  <si>
    <t>Pielikums Nr.2.4.3.2.</t>
  </si>
  <si>
    <t xml:space="preserve">Papildināt valsts apmaksāto pakalpojumu grozu ar nieru simpātisko denervāciju pacientiem ar izteikti grūti kontrolējamām SAS (ar cukura diabētu, smagu adipozitāti, rezistentas hipertensijas gadījumā) </t>
  </si>
  <si>
    <t>Mazināts kardiovaskulārais risks rezistentas hipertensijas gadījumā grūti kontrolējamo SAS pacientu vidū</t>
  </si>
  <si>
    <t>35 pacienti saņēmuši nieru simpātisko denervāciju rezistentas hipertensijas gadījumā</t>
  </si>
  <si>
    <t>Pielikums Nr.2.4.4.</t>
  </si>
  <si>
    <t>Uzlabot aterosklerozes izraisīto seku ārstēšanas pieejamību Latvijas iedzīvotājiem</t>
  </si>
  <si>
    <t>2.4.5.1. Mazināts pacientu gaidīšanas laiks plānveida invazīvās kardioloģijas pakalpojuma saņemšanai</t>
  </si>
  <si>
    <t>2.4.5.2. Mazināts pacientu gaidīšanas laiks vēdera aortas endoprotezēšanas procedūras saņemšanai</t>
  </si>
  <si>
    <t>3 166 pacienti saņēmuši invazīvas kardioloģijas pakalpojumu dienas stacionārā (2026.gads); 
2029 pacienti saņēmuši invazīvas kardioloģijas pakalpojumu dienas stacionārā (2027. gads un turpmāk ik gadu).</t>
  </si>
  <si>
    <t xml:space="preserve">35 pacienti saņēmuši vēdera aortas endoprotezēšanas procedūras (2026. gads un turpmāk ik gadu)
</t>
  </si>
  <si>
    <t>Mazināts pacientu gaidīšanas laiks plānveida invazīvās kardioloģijas pakalpojuma saņemšanai</t>
  </si>
  <si>
    <t>Pielikums Nr.2.4.5.1.</t>
  </si>
  <si>
    <t xml:space="preserve"> 33.16.00 Pārējo ambulatoro veselības aprūpes pakalpojumu nodrošināšana</t>
  </si>
  <si>
    <t xml:space="preserve">PSKUS, RAKUS </t>
  </si>
  <si>
    <t>Mazināts pacientu gaidīšanas laiks vēdera aortas endoprotezēšanas procedūras saņemšanai</t>
  </si>
  <si>
    <t>Pielikums Nr.2.4.5.2.</t>
  </si>
  <si>
    <t>Pielikums Nr.2.4.6.</t>
  </si>
  <si>
    <t>*Plānotais pacientu skaits noteikts pēc ekspertu sniegtās informācijas.</t>
  </si>
  <si>
    <t>Pārskatīt transkatetra vārstuļa implantācijas procedūras tarifs atbilstoši faktiskajām izmaksām un palielināts plānoto pacientu skaits</t>
  </si>
  <si>
    <t>2.4.6.1. Uzlabot (mazinvazīvu) aortas vārstuļu implantācijas pieejamību
2.4.6.2. Papildināts valsts apmaksāto pakalpojumu grozs ar valsts apmaksātu (mazinvazīvu) trikuspidālā, mitrālā, pulmonālā vārstuļa implantācijas procedūru</t>
  </si>
  <si>
    <t>Papildināts valsts apmaksāto pakalpojumu grozs ar valsts apmaksātu (mazinvazīvu) trikuspidālā, mitrālā, pulmonālā vārstuļa implantācijas procedūru un mazinvazīvas aortas vārstuļu implantācijas pieejamību</t>
  </si>
  <si>
    <t xml:space="preserve">Veicināta ātrāka pacienta atveseļošanās sirds ķirurģijas anestezioloģijas un intensīvās terapijas nodaļā </t>
  </si>
  <si>
    <t>Papildināt valsts apmaksāto pakalpojumu grozu ar sirds palīgcirkulācijas ierīcēm pēc sarežģītām sirds operācijām vai hronisku sirds saslimšanu dekompensācijas gadījumos</t>
  </si>
  <si>
    <t xml:space="preserve">30 pacientiem implantētas perkutānas implantējamas sirds kreisā kambara mehāniskas palīgcirkulācijas iekārta </t>
  </si>
  <si>
    <t>Sirds palīgcirkulācijas ierīces pielietošana pēc sarežģītām sirds operācijām vai hronisku sirds saslimšanu dekompensācijas gadījumos</t>
  </si>
  <si>
    <t>Pielikums Nr.2.4.7.</t>
  </si>
  <si>
    <t>Analizēt speciālistu un tehnoloģiju klāstu universitātes un IV līmeņa slimnīcās sirds mazspējas pacientu ārstēšanas nodrošināšanai</t>
  </si>
  <si>
    <t>Uzlabota sirds mazspējas pacientu ārstēšanu stacionārā</t>
  </si>
  <si>
    <t>Izstrādāta sirds mazspējas stacionārā programma un definētas prasības nepieciešamajam speciālistu un tehnoloģiju klāstam ātrākai sirds mazspējas pacienta veselības stāvokļa stabilizēšanai</t>
  </si>
  <si>
    <t>Analizēt sirds ķirurģijas un asinsvadu ķirurģijas klīniku kapacitāti, kā arī pielietotās tehnoloģijas pacientu ārstēšanas uzlabošanai</t>
  </si>
  <si>
    <t>Izvērtēta jaunu tehnoloģiju nepieciešamība un aprēķināts finansējums sirds ķirurģijas un asinsvadu ķirurģijas pieejamības uzlabošanai</t>
  </si>
  <si>
    <t>Sagatavot priekšlikumi sirds ķirurģijas un asinsvadu ķirurģijas pieejamības uzlabošanai un kapacitātes stiprināšanai efektīvai pacientu ārstēšanas nodrošināšanai</t>
  </si>
  <si>
    <t xml:space="preserve">VM, MVI KJ, LAĶB </t>
  </si>
  <si>
    <t>Īstenots pilotprojekts pārejai ar bērnībā operētām kombinētām sirds kaitēm no BKUS uz PSKUS pieaugušo vecumā</t>
  </si>
  <si>
    <t>Izstrādāta ambulatorā programma ar nepieciešamo speciālistu un izmeklējumu klāstu pieaugušo pacientiem ar bērnībā operētu sirdskaiti</t>
  </si>
  <si>
    <t xml:space="preserve">MVI KJ, MVI pediatrijā </t>
  </si>
  <si>
    <t>BKUS, NVD</t>
  </si>
  <si>
    <t xml:space="preserve">Definēt diabēta pēdas aprūpes specializētā centra funkcijas, nepieciešamo speciālistu un tehnoloģiju klāstu universitātes un reģionālās slimnīcās </t>
  </si>
  <si>
    <t xml:space="preserve">Izvērtēta jaunu tehnoloģiju nepieciešamība un aprēķināts finansējums cukura diabēta pacientiem ar diabēta pēdu, amputācijas vai invaliditātes riska samazināšanai </t>
  </si>
  <si>
    <t>Sagatavoti priekšlikumi diabēta pēdas aprūpei universitāšu un reģionālās slimnīcā, definētas speciālistu kvalifikācijas un nepieciešamo tehnoloģiju prasības</t>
  </si>
  <si>
    <t xml:space="preserve">Sasaistē ar 2.4.1. pasākumu veikta esošo insulta vienību kvalitātes prasību izpildes tematiskā pārbaude </t>
  </si>
  <si>
    <t xml:space="preserve">Sniegti priekšlikumi rehabilitācijas pieejamības uzlabošanai insulta/cerebrovaskulāras saslimšanas akūtā periodā </t>
  </si>
  <si>
    <t>Nodrošināt savlaicīgas rehabilitācijas pieejamību pacientiem ar iedzimtām SAS
(SabVesPam 3.1.6.5.)</t>
  </si>
  <si>
    <t>Izvērtēt savlaicīgas rehabilitācijas pieejamību pacientiem ar iedzimtām SAS</t>
  </si>
  <si>
    <t>Sniegti priekšlikumi savlaicīgas rehabilitācijas saņemšanai pacientiem ar iedzimtām SAS</t>
  </si>
  <si>
    <t>MVI pediatrijā, MVI KJ, 
BKUS, PSKUS, nacionālais rehabilitācijas centrs “Vaivari”</t>
  </si>
  <si>
    <t xml:space="preserve">Izvērtēt telemedicīnas izmantošanu pacientu aprūpē pēc insultiem vai KVS akūtiem notikumiem </t>
  </si>
  <si>
    <t>2.5.3.1. Veikta analīze par esošajiem telemedicīnas pakalpojumiem pacientu aprūpē pēc insultiem vai KVS akūtiem notikumiem</t>
  </si>
  <si>
    <t>2.5.3.2. Attīstīti jauni telemedicīnas pakalpojumi, tostarp arī aplikācijas pacientu aprūpē pēc insultiem vai KVS akūtiem notikumiem</t>
  </si>
  <si>
    <t xml:space="preserve">Sniegti priekšlikumi par  telemedicīnas pakalpojumu izmantošanu pacienta rehabilitācijā pacientiem pēc insultiem un KVS notikumiem 
</t>
  </si>
  <si>
    <t>Izstrādāti un atjaunoti kvalitatīvas ārstēšanas kritēriji AKS, aritmiju un sirds mazspēju saņemtās ārstēšanas novērtēšanai</t>
  </si>
  <si>
    <t>Izstrādāti un atjaunoti kvalitatīvas ārstēšanas kritēriji insulta saņemtās ārstēšanas novērtēšanai</t>
  </si>
  <si>
    <r>
      <t>VM,</t>
    </r>
    <r>
      <rPr>
        <sz val="12"/>
        <color rgb="FFEE0000"/>
        <rFont val="Times New Roman"/>
        <family val="1"/>
      </rPr>
      <t xml:space="preserve"> </t>
    </r>
    <r>
      <rPr>
        <sz val="12"/>
        <color rgb="FF000000"/>
        <rFont val="Times New Roman"/>
        <family val="1"/>
      </rPr>
      <t xml:space="preserve">NVD, SPKC, </t>
    </r>
    <r>
      <rPr>
        <sz val="12"/>
        <color theme="1"/>
        <rFont val="Times New Roman"/>
        <family val="1"/>
      </rPr>
      <t>MVI KJ</t>
    </r>
  </si>
  <si>
    <t>Indikatori</t>
  </si>
  <si>
    <t>Pielikums Nr.2.6.1.</t>
  </si>
  <si>
    <t>SPKC, MVI KJ</t>
  </si>
  <si>
    <t>LLĢĀA, LĢĀA, LIB, LKB</t>
  </si>
  <si>
    <t xml:space="preserve">3.1.1.1. Stiprināta māsu un ārstu palīgu loma un veselības aprūpes personāla zināšanas PVA SCORE, hroniska nieru slimības, cukura diabēta diagnostikas veikšanai </t>
  </si>
  <si>
    <t xml:space="preserve">Organizēts seminārs ar ierakstu PVA par izstrādātajiem SCORE, hroniskas nieru slimības un cukura diabēta skrīninga algoritmiem </t>
  </si>
  <si>
    <t>Apmācītas 150 ārstniecības personas par izstrādātajiem klīniskajiem algoritmiem un pacientu ceļiem - cukura diabēta slimības novērošanai, komplikāciju diagnostikā un ārstēšanā, kā arī hronisku nieru slimības tālākai uzraudzībai</t>
  </si>
  <si>
    <t>VM īstenotā ESF+ projekts Nr. 4.1.2.6/1/24/I/001 "Izglītības iespēju nodrošināšana ārstniecībā iesaistītām personām”</t>
  </si>
  <si>
    <t>ESF+ projekts Nr. 4.1.2.6/1/24/I/001 "Izglītības iespēju nodrošināšana ārstniecībā iesaistītām personām”</t>
  </si>
  <si>
    <t>Pielikums Nr.3.1.1.1.</t>
  </si>
  <si>
    <t>Pielikums Nr.3.1.2.</t>
  </si>
  <si>
    <t xml:space="preserve">Veikta ārstu un medicīnas personāla izglītošana par komunikācijas stratēģijām, tostarp, kas veicina pacientu motivāciju un līdzestību          </t>
  </si>
  <si>
    <t xml:space="preserve">Apmācītas 200 ārstniecības personas par pacientu līdzestības veicināšanu             </t>
  </si>
  <si>
    <t>Pielikums Nr.3.1.3.</t>
  </si>
  <si>
    <t>Apmācītas 100 ārstniecības personas par medikamentu optimizāciju un polifarmācijas mazināšanu</t>
  </si>
  <si>
    <t>Apmācītas 200 ārstniecības personas par cerebrovaskulāro slimību novēršanu</t>
  </si>
  <si>
    <t>Pielikums Nr.3.1.4.</t>
  </si>
  <si>
    <t>LNB, LAĶB</t>
  </si>
  <si>
    <t>Apmācīti Rīgā un reģionos ~100 ģimenes ārsti un nodrošināti ar metodiskajiem materiāliem (SSK-10 atjaunotā versija)</t>
  </si>
  <si>
    <t>Pielikums Sirds un asinsvadu veselības uzlabošanas rīcības plāns 2025.–2027. gadam</t>
  </si>
  <si>
    <t>2.5.  Rehabilitācijas pakalpojumu pieejamības veicināšana</t>
  </si>
  <si>
    <t>2.6. Veselības aprūpes kvalitātes uzlabošana</t>
  </si>
  <si>
    <t>2.4. Stacionārās veselības aprūpes pilnveidošanas pasākumi</t>
  </si>
  <si>
    <t>Papildus nepieciešamais finansējums 2028. gadam un  turpmāk ik gadu
(ja pasākums nav terminēts)</t>
  </si>
  <si>
    <t>2.2.3.3. Uzlabota cukura diabēta neiroloģisko komplikāciju savlaicīga atklāšana un ārstēšana</t>
  </si>
  <si>
    <t>Papildus nepieciešamais finansējums 2028. gadam un turpmāk ik gadu 
(ja pasākums nav terminēts)</t>
  </si>
  <si>
    <t>Papildus nepieciešamais finansējums 2027.gadam un turpmāk ik gadu (ja pasākums nav terminēts)</t>
  </si>
  <si>
    <t>Papildus nepieciešamais finansējums 2027. gadam  un turpmāk ik gadu
(ja pasākums nav terminēts)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</si>
</sst>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00_);_(* \(#,##0.00\);_(* &quot;-&quot;??_);_(@_)"/>
    <numFmt numFmtId="165" formatCode="_-* #,##0_-;\-* #,##0_-;_-* &quot;-&quot;??_-;_-@_-"/>
    <numFmt numFmtId="166" formatCode="0.0000"/>
    <numFmt numFmtId="167" formatCode="_-* #,##0\ _€_-;\-* #,##0\ _€_-;_-* &quot;-&quot;??\ _€_-;_-@_-"/>
    <numFmt numFmtId="168" formatCode="_(* #,##0_);_(* \(#,##0\);_(* &quot;-&quot;??_);_(@_)"/>
    <numFmt numFmtId="169" formatCode="_-* #,##0.00\ _€_-;\-* #,##0.00\ _€_-;_-* &quot;-&quot;??\ _€_-;_-@_-"/>
    <numFmt numFmtId="170" formatCode="0.0%"/>
  </numFmts>
  <fonts count="107">
    <font>
      <sz val="11"/>
      <color theme="1"/>
      <name val="Aptos Narrow"/>
      <family val="2"/>
      <charset val="186"/>
      <scheme val="minor"/>
    </font>
    <font>
      <sz val="11"/>
      <color rgb="FF000000"/>
      <name val="Aptos Narrow"/>
      <family val="2"/>
      <charset val="186"/>
    </font>
    <font>
      <b/>
      <sz val="11"/>
      <color rgb="FF000000"/>
      <name val="Times New Roman"/>
      <family val="1"/>
      <charset val="186"/>
    </font>
    <font>
      <sz val="11"/>
      <color rgb="FF000000"/>
      <name val="Times New Roman"/>
      <family val="1"/>
      <charset val="186"/>
    </font>
    <font>
      <sz val="12"/>
      <name val="Times New Roman"/>
      <family val="1"/>
      <charset val="186"/>
    </font>
    <font>
      <sz val="12"/>
      <color rgb="FF000000"/>
      <name val="Times New Roman"/>
      <family val="1"/>
      <charset val="186"/>
    </font>
    <font>
      <sz val="12"/>
      <color rgb="FFFF0000"/>
      <name val="Times New Roman"/>
      <family val="1"/>
      <charset val="186"/>
    </font>
    <font>
      <sz val="11"/>
      <color rgb="FFFF0000"/>
      <name val="Aptos Narrow"/>
      <family val="2"/>
      <charset val="186"/>
      <scheme val="minor"/>
    </font>
    <font>
      <i/>
      <sz val="11"/>
      <color rgb="FF000000"/>
      <name val="Times New Roman"/>
      <family val="1"/>
      <charset val="186"/>
    </font>
    <font>
      <b/>
      <i/>
      <sz val="11"/>
      <color rgb="FF000000"/>
      <name val="Times New Roman"/>
      <family val="1"/>
      <charset val="186"/>
    </font>
    <font>
      <sz val="11"/>
      <color rgb="FFFF0000"/>
      <name val="Times New Roman"/>
      <family val="1"/>
      <charset val="186"/>
    </font>
    <font>
      <sz val="11"/>
      <color theme="1"/>
      <name val="Aptos Narrow"/>
      <family val="2"/>
      <charset val="186"/>
      <scheme val="minor"/>
    </font>
    <font>
      <b/>
      <sz val="12"/>
      <name val="Times New Roman"/>
      <family val="1"/>
      <charset val="186"/>
    </font>
    <font>
      <sz val="11"/>
      <name val="Times New Roman"/>
      <family val="1"/>
      <charset val="186"/>
    </font>
    <font>
      <b/>
      <sz val="11"/>
      <name val="Times New Roman"/>
      <family val="1"/>
      <charset val="186"/>
    </font>
    <font>
      <sz val="11"/>
      <color theme="1"/>
      <name val="Times New Roman"/>
      <family val="1"/>
      <charset val="186"/>
    </font>
    <font>
      <b/>
      <sz val="11"/>
      <color theme="1"/>
      <name val="Times New Roman"/>
      <family val="1"/>
      <charset val="186"/>
    </font>
    <font>
      <b/>
      <i/>
      <sz val="11"/>
      <color theme="1"/>
      <name val="Times New Roman"/>
      <family val="1"/>
      <charset val="186"/>
    </font>
    <font>
      <b/>
      <sz val="11"/>
      <color rgb="FF000000"/>
      <name val="Aptos Narrow"/>
      <family val="2"/>
    </font>
    <font>
      <sz val="12"/>
      <color rgb="FF000000"/>
      <name val="Times New Roman"/>
      <family val="1"/>
    </font>
    <font>
      <sz val="12"/>
      <name val="Times New Roman"/>
      <family val="1"/>
    </font>
    <font>
      <sz val="12"/>
      <color theme="1"/>
      <name val="Times New Roman"/>
      <family val="1"/>
      <charset val="186"/>
    </font>
    <font>
      <vertAlign val="superscript"/>
      <sz val="11"/>
      <color theme="1"/>
      <name val="Times New Roman"/>
      <family val="1"/>
      <charset val="186"/>
    </font>
    <font>
      <vertAlign val="superscript"/>
      <sz val="11"/>
      <color rgb="FF000000"/>
      <name val="Times New Roman"/>
      <family val="1"/>
      <charset val="186"/>
    </font>
    <font>
      <b/>
      <vertAlign val="superscript"/>
      <sz val="11"/>
      <color theme="1"/>
      <name val="Times New Roman"/>
      <family val="1"/>
      <charset val="186"/>
    </font>
    <font>
      <sz val="11"/>
      <color rgb="FF000000"/>
      <name val="Aptos Narrow"/>
      <family val="2"/>
    </font>
    <font>
      <b/>
      <sz val="16"/>
      <color rgb="FF000000"/>
      <name val="Times New Roman"/>
      <family val="1"/>
    </font>
    <font>
      <b/>
      <sz val="12"/>
      <color rgb="FF000000"/>
      <name val="Times New Roman"/>
      <family val="1"/>
    </font>
    <font>
      <b/>
      <sz val="12"/>
      <name val="Times New Roman"/>
      <family val="1"/>
    </font>
    <font>
      <b/>
      <sz val="12"/>
      <color theme="1"/>
      <name val="Times New Roman"/>
      <family val="1"/>
    </font>
    <font>
      <b/>
      <sz val="15"/>
      <color rgb="FF000000"/>
      <name val="Times New Roman"/>
      <family val="1"/>
    </font>
    <font>
      <sz val="11"/>
      <color rgb="FF000000"/>
      <name val="Times New Roman"/>
      <family val="1"/>
    </font>
    <font>
      <sz val="11"/>
      <color theme="1"/>
      <name val="Aptos Narrow"/>
      <family val="2"/>
      <scheme val="minor"/>
    </font>
    <font>
      <sz val="10"/>
      <color theme="1"/>
      <name val="Times New Roman"/>
      <family val="1"/>
    </font>
    <font>
      <sz val="10"/>
      <color theme="1"/>
      <name val="Times New Roman"/>
      <family val="1"/>
      <charset val="186"/>
    </font>
    <font>
      <sz val="10"/>
      <name val="Arial"/>
      <family val="2"/>
      <charset val="186"/>
    </font>
    <font>
      <sz val="10"/>
      <name val="Times New Roman"/>
      <family val="1"/>
      <charset val="186"/>
    </font>
    <font>
      <b/>
      <sz val="10"/>
      <color theme="1"/>
      <name val="Times New Roman"/>
      <family val="1"/>
    </font>
    <font>
      <b/>
      <sz val="10"/>
      <name val="Times New Roman"/>
      <family val="1"/>
    </font>
    <font>
      <b/>
      <sz val="10"/>
      <color theme="1"/>
      <name val="Times New Roman"/>
      <family val="1"/>
      <charset val="186"/>
    </font>
    <font>
      <sz val="11"/>
      <color theme="1"/>
      <name val="Times New Roman"/>
      <family val="1"/>
    </font>
    <font>
      <b/>
      <sz val="11"/>
      <color theme="1"/>
      <name val="Times New Roman"/>
      <family val="1"/>
    </font>
    <font>
      <sz val="11"/>
      <name val="Times New Roman"/>
      <family val="1"/>
    </font>
    <font>
      <sz val="10"/>
      <color rgb="FFFF0000"/>
      <name val="Times New Roman"/>
      <family val="1"/>
    </font>
    <font>
      <sz val="10"/>
      <name val="Times New Roman"/>
      <family val="1"/>
    </font>
    <font>
      <i/>
      <sz val="10"/>
      <name val="Times New Roman"/>
      <family val="1"/>
    </font>
    <font>
      <i/>
      <sz val="10"/>
      <color theme="1"/>
      <name val="Times New Roman"/>
      <family val="1"/>
    </font>
    <font>
      <u/>
      <sz val="11"/>
      <color theme="10"/>
      <name val="Aptos Narrow"/>
      <family val="2"/>
      <charset val="186"/>
      <scheme val="minor"/>
    </font>
    <font>
      <sz val="11"/>
      <color rgb="FFFF0000"/>
      <name val="Times New Roman"/>
      <family val="1"/>
    </font>
    <font>
      <sz val="11"/>
      <color rgb="FFFFFFFF"/>
      <name val="Calibri"/>
      <family val="2"/>
      <charset val="186"/>
    </font>
    <font>
      <sz val="11"/>
      <color rgb="FF000000"/>
      <name val="Calibri"/>
      <family val="2"/>
      <charset val="186"/>
    </font>
    <font>
      <sz val="9"/>
      <color rgb="FF000000"/>
      <name val="Calibri"/>
      <family val="2"/>
      <charset val="186"/>
    </font>
    <font>
      <sz val="11"/>
      <color rgb="FF000000"/>
      <name val="Calibri"/>
      <family val="2"/>
    </font>
    <font>
      <sz val="11"/>
      <color rgb="FF202020"/>
      <name val="Calibri"/>
      <family val="2"/>
      <charset val="186"/>
    </font>
    <font>
      <b/>
      <sz val="11"/>
      <color rgb="FF000000"/>
      <name val="Calibri"/>
      <family val="2"/>
      <charset val="186"/>
    </font>
    <font>
      <sz val="11"/>
      <color theme="1"/>
      <name val="Times New Roman"/>
      <family val="1"/>
      <charset val="186"/>
    </font>
    <font>
      <b/>
      <sz val="11"/>
      <name val="Times New Roman"/>
      <family val="1"/>
    </font>
    <font>
      <i/>
      <sz val="12"/>
      <color rgb="FF000000"/>
      <name val="Times New Roman"/>
      <family val="1"/>
      <charset val="186"/>
    </font>
    <font>
      <sz val="10"/>
      <color rgb="FF000000"/>
      <name val="Times New Roman"/>
      <family val="1"/>
      <charset val="186"/>
    </font>
    <font>
      <b/>
      <sz val="11"/>
      <color rgb="FFFF0000"/>
      <name val="Aptos Narrow"/>
      <family val="2"/>
      <charset val="186"/>
    </font>
    <font>
      <sz val="10"/>
      <color rgb="FFFF0000"/>
      <name val="Times New Roman"/>
      <family val="1"/>
      <charset val="186"/>
    </font>
    <font>
      <b/>
      <sz val="11"/>
      <color rgb="FF000000"/>
      <name val="Times New Roman"/>
      <family val="1"/>
    </font>
    <font>
      <sz val="12"/>
      <color theme="1"/>
      <name val="Times New Roman"/>
      <family val="1"/>
      <charset val="1"/>
    </font>
    <font>
      <b/>
      <sz val="12"/>
      <color rgb="FF000000"/>
      <name val="Times"/>
    </font>
    <font>
      <b/>
      <sz val="12"/>
      <color rgb="FF242424"/>
      <name val="Times"/>
    </font>
    <font>
      <b/>
      <sz val="10"/>
      <color rgb="FF000000"/>
      <name val="Times New Roman"/>
      <family val="1"/>
    </font>
    <font>
      <sz val="10"/>
      <color theme="1"/>
      <name val="Aptos Narrow"/>
      <family val="2"/>
      <charset val="186"/>
      <scheme val="minor"/>
    </font>
    <font>
      <sz val="12"/>
      <color theme="1"/>
      <name val="Times"/>
    </font>
    <font>
      <sz val="12"/>
      <color theme="1"/>
      <name val="Times New Roman"/>
      <family val="1"/>
      <charset val="186"/>
    </font>
    <font>
      <b/>
      <sz val="12"/>
      <color rgb="FF000000"/>
      <name val="Times New Roman"/>
      <family val="1"/>
      <charset val="1"/>
    </font>
    <font>
      <u/>
      <sz val="12"/>
      <color rgb="FF000000"/>
      <name val="Times New Roman"/>
      <family val="1"/>
      <charset val="186"/>
    </font>
    <font>
      <sz val="12"/>
      <color rgb="FF000000"/>
      <name val="Times New Roman"/>
      <family val="1"/>
      <charset val="1"/>
    </font>
    <font>
      <b/>
      <sz val="12"/>
      <color rgb="FF000000"/>
      <name val="Times New Roman"/>
      <family val="1"/>
      <charset val="186"/>
    </font>
    <font>
      <u/>
      <sz val="11"/>
      <color theme="10"/>
      <name val="Times New Roman"/>
      <family val="1"/>
      <charset val="186"/>
    </font>
    <font>
      <sz val="10"/>
      <color rgb="FF000000"/>
      <name val="Times New Roman"/>
      <family val="1"/>
    </font>
    <font>
      <b/>
      <sz val="12"/>
      <color theme="1"/>
      <name val="Times New Roman"/>
      <family val="1"/>
      <charset val="186"/>
    </font>
    <font>
      <sz val="12"/>
      <color theme="1"/>
      <name val="Times New Roman"/>
      <family val="1"/>
    </font>
    <font>
      <sz val="12"/>
      <color rgb="FFFF0000"/>
      <name val="Times New Roman"/>
      <family val="1"/>
    </font>
    <font>
      <b/>
      <sz val="16"/>
      <color rgb="FFFF0000"/>
      <name val="Times New Roman"/>
      <family val="1"/>
    </font>
    <font>
      <sz val="12"/>
      <name val="Times New Roman"/>
      <family val="1"/>
      <charset val="186"/>
    </font>
    <font>
      <sz val="8"/>
      <color theme="1"/>
      <name val="Times New Roman"/>
      <family val="1"/>
    </font>
    <font>
      <strike/>
      <sz val="10"/>
      <name val="Times New Roman"/>
      <family val="1"/>
      <charset val="186"/>
    </font>
    <font>
      <strike/>
      <sz val="10"/>
      <color theme="1"/>
      <name val="Times New Roman"/>
      <family val="1"/>
      <charset val="186"/>
    </font>
    <font>
      <b/>
      <sz val="11"/>
      <color rgb="FFFF0000"/>
      <name val="Aptos Narrow"/>
      <family val="2"/>
    </font>
    <font>
      <sz val="8"/>
      <name val="Aptos Narrow"/>
      <family val="2"/>
      <charset val="186"/>
      <scheme val="minor"/>
    </font>
    <font>
      <sz val="11"/>
      <color theme="1"/>
      <name val="Times"/>
    </font>
    <font>
      <sz val="10"/>
      <color theme="0"/>
      <name val="Times New Roman"/>
      <family val="1"/>
    </font>
    <font>
      <b/>
      <sz val="10"/>
      <color rgb="FF000000"/>
      <name val="Times New Roman"/>
      <family val="1"/>
      <charset val="186"/>
    </font>
    <font>
      <sz val="8"/>
      <color theme="1"/>
      <name val="Times New Roman"/>
      <family val="1"/>
      <charset val="186"/>
    </font>
    <font>
      <sz val="11"/>
      <color theme="1"/>
      <name val="Times New Roman"/>
      <family val="1"/>
    </font>
    <font>
      <sz val="10"/>
      <name val="Times"/>
    </font>
    <font>
      <sz val="11"/>
      <color theme="1"/>
      <name val="Times new"/>
    </font>
    <font>
      <sz val="11"/>
      <color rgb="FF000000"/>
      <name val="Times New Roman"/>
      <family val="1"/>
    </font>
    <font>
      <sz val="11"/>
      <color rgb="FF000000"/>
      <name val="Times New Roman"/>
      <family val="1"/>
      <charset val="1"/>
    </font>
    <font>
      <b/>
      <sz val="8"/>
      <color theme="1"/>
      <name val="Times New Roman"/>
      <family val="1"/>
      <charset val="186"/>
    </font>
    <font>
      <sz val="8"/>
      <color rgb="FF000000"/>
      <name val="Times New Roman"/>
      <family val="1"/>
      <charset val="186"/>
    </font>
    <font>
      <b/>
      <sz val="12"/>
      <color rgb="FF000000"/>
      <name val="Aptos"/>
      <family val="2"/>
    </font>
    <font>
      <sz val="12"/>
      <color rgb="FF000000"/>
      <name val="Aptos"/>
      <family val="2"/>
    </font>
    <font>
      <sz val="12"/>
      <name val="Times New Roman"/>
      <family val="1"/>
      <charset val="1"/>
    </font>
    <font>
      <sz val="12"/>
      <color rgb="FFEE0000"/>
      <name val="Times New Roman"/>
      <family val="1"/>
    </font>
    <font>
      <sz val="11"/>
      <name val="Aptos Narrow"/>
      <family val="2"/>
    </font>
    <font>
      <b/>
      <sz val="12"/>
      <name val="Times"/>
    </font>
    <font>
      <b/>
      <sz val="10"/>
      <name val="Times"/>
    </font>
    <font>
      <b/>
      <sz val="15"/>
      <name val="Times New Roman"/>
      <family val="1"/>
    </font>
    <font>
      <b/>
      <sz val="11"/>
      <name val="Aptos Narrow"/>
      <family val="2"/>
    </font>
    <font>
      <sz val="12"/>
      <name val="Times"/>
      <charset val="186"/>
    </font>
    <font>
      <sz val="11"/>
      <name val="Aptos Narrow"/>
      <family val="2"/>
      <charset val="186"/>
      <scheme val="minor"/>
    </font>
  </fonts>
  <fills count="25">
    <fill>
      <patternFill patternType="none"/>
    </fill>
    <fill>
      <patternFill patternType="gray125"/>
    </fill>
    <fill>
      <patternFill patternType="solid">
        <fgColor rgb="FFDAF2D0"/>
        <bgColor rgb="FF000000"/>
      </patternFill>
    </fill>
    <fill>
      <patternFill patternType="solid">
        <fgColor rgb="FFFFFFFF"/>
        <bgColor rgb="FF000000"/>
      </patternFill>
    </fill>
    <fill>
      <patternFill patternType="solid">
        <fgColor theme="9" tint="0.79998168889431442"/>
        <bgColor indexed="64"/>
      </patternFill>
    </fill>
    <fill>
      <patternFill patternType="solid">
        <fgColor rgb="FFA9D08E"/>
        <bgColor rgb="FF000000"/>
      </patternFill>
    </fill>
    <fill>
      <patternFill patternType="solid">
        <fgColor rgb="FFE2EFDA"/>
        <bgColor rgb="FF000000"/>
      </patternFill>
    </fill>
    <fill>
      <patternFill patternType="solid">
        <fgColor theme="3" tint="0.89999084444715716"/>
        <bgColor indexed="64"/>
      </patternFill>
    </fill>
    <fill>
      <patternFill patternType="solid">
        <fgColor theme="0"/>
        <bgColor indexed="64"/>
      </patternFill>
    </fill>
    <fill>
      <patternFill patternType="solid">
        <fgColor rgb="FFE2EFDA"/>
        <bgColor rgb="FFEDEDED"/>
      </patternFill>
    </fill>
    <fill>
      <patternFill patternType="solid">
        <fgColor theme="9" tint="0.59999389629810485"/>
        <bgColor indexed="64"/>
      </patternFill>
    </fill>
    <fill>
      <patternFill patternType="solid">
        <fgColor theme="9" tint="0.79998168889431442"/>
        <bgColor rgb="FF000000"/>
      </patternFill>
    </fill>
    <fill>
      <patternFill patternType="solid">
        <fgColor rgb="FF92D050"/>
        <bgColor indexed="64"/>
      </patternFill>
    </fill>
    <fill>
      <patternFill patternType="solid">
        <fgColor rgb="FF305496"/>
        <bgColor rgb="FF000000"/>
      </patternFill>
    </fill>
    <fill>
      <patternFill patternType="solid">
        <fgColor rgb="FFD9E1F2"/>
        <bgColor rgb="FF000000"/>
      </patternFill>
    </fill>
    <fill>
      <patternFill patternType="solid">
        <fgColor theme="9" tint="0.59999389629810485"/>
        <bgColor rgb="FF000000"/>
      </patternFill>
    </fill>
    <fill>
      <patternFill patternType="solid">
        <fgColor theme="0"/>
        <bgColor rgb="FF000000"/>
      </patternFill>
    </fill>
    <fill>
      <patternFill patternType="solid">
        <fgColor theme="8" tint="0.79998168889431442"/>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79998168889431442"/>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rgb="FF000000"/>
      </bottom>
      <diagonal/>
    </border>
    <border>
      <left/>
      <right style="thin">
        <color rgb="FF000000"/>
      </right>
      <top style="thin">
        <color indexed="64"/>
      </top>
      <bottom style="thin">
        <color indexed="64"/>
      </bottom>
      <diagonal/>
    </border>
    <border>
      <left/>
      <right/>
      <top style="thin">
        <color indexed="64"/>
      </top>
      <bottom style="thin">
        <color indexed="64"/>
      </bottom>
      <diagonal/>
    </border>
    <border>
      <left style="thin">
        <color rgb="FF808080"/>
      </left>
      <right style="thin">
        <color rgb="FF808080"/>
      </right>
      <top/>
      <bottom style="thin">
        <color rgb="FF808080"/>
      </bottom>
      <diagonal/>
    </border>
    <border>
      <left/>
      <right style="thin">
        <color rgb="FF808080"/>
      </right>
      <top/>
      <bottom style="thin">
        <color rgb="FF80808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808080"/>
      </left>
      <right style="thin">
        <color rgb="FF808080"/>
      </right>
      <top style="thin">
        <color rgb="FF808080"/>
      </top>
      <bottom/>
      <diagonal/>
    </border>
    <border>
      <left style="thin">
        <color rgb="FF808080"/>
      </left>
      <right style="thin">
        <color rgb="FF808080"/>
      </right>
      <top/>
      <bottom/>
      <diagonal/>
    </border>
    <border>
      <left/>
      <right style="thin">
        <color rgb="FF808080"/>
      </right>
      <top style="thin">
        <color rgb="FF808080"/>
      </top>
      <bottom style="thin">
        <color rgb="FF808080"/>
      </bottom>
      <diagonal/>
    </border>
    <border>
      <left/>
      <right/>
      <top style="thin">
        <color rgb="FF808080"/>
      </top>
      <bottom style="thin">
        <color rgb="FF80808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808080"/>
      </left>
      <right/>
      <top/>
      <bottom/>
      <diagonal/>
    </border>
    <border>
      <left/>
      <right style="thin">
        <color rgb="FF808080"/>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rgb="FF000000"/>
      </bottom>
      <diagonal/>
    </border>
    <border>
      <left/>
      <right style="thin">
        <color indexed="64"/>
      </right>
      <top/>
      <bottom style="thin">
        <color rgb="FF000000"/>
      </bottom>
      <diagonal/>
    </border>
    <border>
      <left style="thin">
        <color rgb="FF808080"/>
      </left>
      <right style="thin">
        <color rgb="FF808080"/>
      </right>
      <top style="thin">
        <color rgb="FF808080"/>
      </top>
      <bottom style="thin">
        <color rgb="FF808080"/>
      </bottom>
      <diagonal/>
    </border>
    <border>
      <left style="thin">
        <color rgb="FF000000"/>
      </left>
      <right/>
      <top/>
      <bottom/>
      <diagonal/>
    </border>
    <border>
      <left/>
      <right style="thin">
        <color rgb="FF000000"/>
      </right>
      <top/>
      <bottom/>
      <diagonal/>
    </border>
    <border>
      <left style="thin">
        <color rgb="FF808080"/>
      </left>
      <right/>
      <top style="thin">
        <color rgb="FF808080"/>
      </top>
      <bottom style="thin">
        <color rgb="FF808080"/>
      </bottom>
      <diagonal/>
    </border>
    <border>
      <left/>
      <right/>
      <top style="thin">
        <color indexed="64"/>
      </top>
      <bottom/>
      <diagonal/>
    </border>
    <border>
      <left/>
      <right/>
      <top/>
      <bottom style="thin">
        <color indexed="64"/>
      </bottom>
      <diagonal/>
    </border>
    <border>
      <left/>
      <right style="thin">
        <color indexed="64"/>
      </right>
      <top/>
      <bottom/>
      <diagonal/>
    </border>
    <border>
      <left/>
      <right/>
      <top/>
      <bottom style="thin">
        <color rgb="FF80808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bottom/>
      <diagonal/>
    </border>
    <border>
      <left style="thin">
        <color indexed="64"/>
      </left>
      <right/>
      <top/>
      <bottom style="thin">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style="thin">
        <color indexed="64"/>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808080"/>
      </left>
      <right/>
      <top style="thin">
        <color rgb="FF808080"/>
      </top>
      <bottom/>
      <diagonal/>
    </border>
    <border>
      <left style="thin">
        <color rgb="FF808080"/>
      </left>
      <right/>
      <top/>
      <bottom style="thin">
        <color rgb="FF808080"/>
      </bottom>
      <diagonal/>
    </border>
    <border>
      <left style="thin">
        <color rgb="FF808080"/>
      </left>
      <right style="thin">
        <color rgb="FF808080"/>
      </right>
      <top/>
      <bottom style="thin">
        <color indexed="64"/>
      </bottom>
      <diagonal/>
    </border>
    <border>
      <left/>
      <right/>
      <top style="medium">
        <color indexed="64"/>
      </top>
      <bottom style="thin">
        <color indexed="64"/>
      </bottom>
      <diagonal/>
    </border>
    <border>
      <left style="thin">
        <color rgb="FF000000"/>
      </left>
      <right style="thin">
        <color rgb="FF000000"/>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rgb="FF808080"/>
      </right>
      <top style="thin">
        <color rgb="FF808080"/>
      </top>
      <bottom/>
      <diagonal/>
    </border>
    <border>
      <left style="medium">
        <color indexed="64"/>
      </left>
      <right style="medium">
        <color indexed="64"/>
      </right>
      <top style="medium">
        <color indexed="64"/>
      </top>
      <bottom style="medium">
        <color indexed="64"/>
      </bottom>
      <diagonal/>
    </border>
    <border>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s>
  <cellStyleXfs count="10">
    <xf numFmtId="0" fontId="0" fillId="0" borderId="0"/>
    <xf numFmtId="43" fontId="11" fillId="0" borderId="0" applyFont="0" applyFill="0" applyBorder="0" applyAlignment="0" applyProtection="0"/>
    <xf numFmtId="0" fontId="32" fillId="0" borderId="0"/>
    <xf numFmtId="0" fontId="11" fillId="0" borderId="0"/>
    <xf numFmtId="0" fontId="35" fillId="0" borderId="0"/>
    <xf numFmtId="0" fontId="11" fillId="0" borderId="0"/>
    <xf numFmtId="43" fontId="35" fillId="0" borderId="0" applyFont="0" applyFill="0" applyBorder="0" applyAlignment="0" applyProtection="0"/>
    <xf numFmtId="0" fontId="47" fillId="0" borderId="0" applyNumberFormat="0" applyFill="0" applyBorder="0" applyAlignment="0" applyProtection="0"/>
    <xf numFmtId="43" fontId="11" fillId="0" borderId="0" applyFont="0" applyFill="0" applyBorder="0" applyAlignment="0" applyProtection="0"/>
    <xf numFmtId="0" fontId="11" fillId="0" borderId="0"/>
  </cellStyleXfs>
  <cellXfs count="1721">
    <xf numFmtId="0" fontId="0" fillId="0" borderId="0" xfId="0"/>
    <xf numFmtId="0" fontId="1" fillId="0" borderId="0" xfId="0" applyFont="1"/>
    <xf numFmtId="0" fontId="4" fillId="0" borderId="0" xfId="0" applyFont="1" applyAlignment="1">
      <alignment wrapText="1"/>
    </xf>
    <xf numFmtId="0" fontId="5"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0" borderId="1" xfId="0" applyFont="1" applyBorder="1" applyAlignment="1">
      <alignment horizontal="left" wrapText="1"/>
    </xf>
    <xf numFmtId="0" fontId="5" fillId="2" borderId="3" xfId="0" applyFont="1" applyFill="1" applyBorder="1" applyAlignment="1">
      <alignment horizontal="center" vertical="center" wrapText="1"/>
    </xf>
    <xf numFmtId="0" fontId="6" fillId="0" borderId="0" xfId="0" applyFont="1" applyAlignment="1">
      <alignment wrapText="1"/>
    </xf>
    <xf numFmtId="0" fontId="6" fillId="0" borderId="0" xfId="0" applyFont="1"/>
    <xf numFmtId="0" fontId="5" fillId="0" borderId="0" xfId="0" applyFont="1" applyAlignment="1">
      <alignment wrapText="1"/>
    </xf>
    <xf numFmtId="1" fontId="5" fillId="0" borderId="0" xfId="0" applyNumberFormat="1" applyFont="1" applyAlignment="1">
      <alignment horizontal="center" wrapText="1"/>
    </xf>
    <xf numFmtId="2" fontId="5" fillId="3" borderId="10" xfId="0" applyNumberFormat="1" applyFont="1" applyFill="1" applyBorder="1" applyAlignment="1">
      <alignment horizontal="center" vertical="center"/>
    </xf>
    <xf numFmtId="0" fontId="5" fillId="0" borderId="10" xfId="0" applyFont="1" applyBorder="1" applyAlignment="1">
      <alignment horizontal="center" vertical="center"/>
    </xf>
    <xf numFmtId="1" fontId="5" fillId="0" borderId="10" xfId="0" applyNumberFormat="1" applyFont="1" applyBorder="1" applyAlignment="1">
      <alignment horizontal="center" vertical="center"/>
    </xf>
    <xf numFmtId="0" fontId="5" fillId="2" borderId="12" xfId="0" applyFont="1" applyFill="1" applyBorder="1" applyAlignment="1">
      <alignment horizontal="center" vertical="center" wrapText="1"/>
    </xf>
    <xf numFmtId="0" fontId="3" fillId="0" borderId="1" xfId="0" applyFont="1" applyBorder="1" applyAlignment="1">
      <alignment wrapText="1"/>
    </xf>
    <xf numFmtId="0" fontId="7" fillId="0" borderId="0" xfId="0" applyFont="1"/>
    <xf numFmtId="0" fontId="3" fillId="2" borderId="3" xfId="0" applyFont="1" applyFill="1" applyBorder="1" applyAlignment="1">
      <alignment horizontal="center" vertical="center" wrapText="1"/>
    </xf>
    <xf numFmtId="0" fontId="3" fillId="2" borderId="12" xfId="0" applyFont="1" applyFill="1" applyBorder="1" applyAlignment="1">
      <alignment horizontal="center" vertical="center" wrapText="1"/>
    </xf>
    <xf numFmtId="2" fontId="3" fillId="3" borderId="10" xfId="0" applyNumberFormat="1" applyFont="1" applyFill="1" applyBorder="1" applyAlignment="1">
      <alignment horizontal="center" vertical="center"/>
    </xf>
    <xf numFmtId="165" fontId="3" fillId="3" borderId="2" xfId="1" applyNumberFormat="1" applyFont="1" applyFill="1" applyBorder="1" applyAlignment="1">
      <alignment horizontal="center" vertical="center"/>
    </xf>
    <xf numFmtId="0" fontId="3" fillId="3" borderId="0" xfId="0" applyFont="1" applyFill="1"/>
    <xf numFmtId="0" fontId="3" fillId="3" borderId="0" xfId="0" applyFont="1" applyFill="1" applyAlignment="1">
      <alignment wrapText="1"/>
    </xf>
    <xf numFmtId="0" fontId="3" fillId="5" borderId="16" xfId="0" applyFont="1" applyFill="1" applyBorder="1"/>
    <xf numFmtId="0" fontId="3" fillId="5" borderId="9" xfId="0" applyFont="1" applyFill="1" applyBorder="1" applyAlignment="1">
      <alignment wrapText="1"/>
    </xf>
    <xf numFmtId="0" fontId="3" fillId="5" borderId="9" xfId="0" applyFont="1" applyFill="1" applyBorder="1"/>
    <xf numFmtId="0" fontId="3" fillId="3" borderId="9" xfId="0" applyFont="1" applyFill="1" applyBorder="1" applyAlignment="1">
      <alignment horizontal="center"/>
    </xf>
    <xf numFmtId="165" fontId="5" fillId="0" borderId="0" xfId="1" applyNumberFormat="1" applyFont="1" applyAlignment="1">
      <alignment horizontal="center" wrapText="1"/>
    </xf>
    <xf numFmtId="165" fontId="5" fillId="0" borderId="10" xfId="1" applyNumberFormat="1" applyFont="1" applyBorder="1" applyAlignment="1">
      <alignment horizontal="left" vertical="center"/>
    </xf>
    <xf numFmtId="0" fontId="3" fillId="3" borderId="8" xfId="0" applyFont="1" applyFill="1" applyBorder="1" applyAlignment="1">
      <alignment horizontal="center"/>
    </xf>
    <xf numFmtId="0" fontId="3" fillId="3" borderId="9" xfId="0" applyFont="1" applyFill="1" applyBorder="1" applyAlignment="1">
      <alignment horizontal="center" wrapText="1"/>
    </xf>
    <xf numFmtId="0" fontId="3" fillId="3" borderId="0" xfId="0" applyFont="1" applyFill="1" applyAlignment="1">
      <alignment horizontal="center" vertical="center" wrapText="1"/>
    </xf>
    <xf numFmtId="0" fontId="3" fillId="3" borderId="9" xfId="0" applyFont="1" applyFill="1" applyBorder="1" applyAlignment="1">
      <alignment horizontal="center" vertical="center"/>
    </xf>
    <xf numFmtId="0" fontId="13" fillId="3" borderId="9" xfId="0" applyFont="1" applyFill="1" applyBorder="1" applyAlignment="1">
      <alignment horizontal="center" vertical="center" wrapText="1"/>
    </xf>
    <xf numFmtId="2" fontId="13" fillId="3" borderId="9" xfId="0" applyNumberFormat="1" applyFont="1" applyFill="1" applyBorder="1" applyAlignment="1">
      <alignment horizontal="center" vertical="center" wrapText="1"/>
    </xf>
    <xf numFmtId="2" fontId="14" fillId="6" borderId="9" xfId="0" applyNumberFormat="1" applyFont="1" applyFill="1" applyBorder="1" applyAlignment="1">
      <alignment horizontal="center" vertical="center"/>
    </xf>
    <xf numFmtId="0" fontId="14" fillId="6" borderId="9" xfId="0" applyFont="1" applyFill="1" applyBorder="1" applyAlignment="1">
      <alignment horizontal="center" vertical="center"/>
    </xf>
    <xf numFmtId="2" fontId="13" fillId="3" borderId="9" xfId="0" applyNumberFormat="1" applyFont="1" applyFill="1" applyBorder="1" applyAlignment="1">
      <alignment horizontal="center" vertical="center"/>
    </xf>
    <xf numFmtId="2" fontId="3" fillId="3" borderId="9" xfId="0" applyNumberFormat="1" applyFont="1" applyFill="1" applyBorder="1" applyAlignment="1">
      <alignment horizontal="center" vertical="center"/>
    </xf>
    <xf numFmtId="0" fontId="3" fillId="5" borderId="9" xfId="0" applyFont="1" applyFill="1" applyBorder="1" applyAlignment="1">
      <alignment horizontal="center" vertical="center"/>
    </xf>
    <xf numFmtId="0" fontId="3" fillId="3" borderId="0" xfId="0" applyFont="1" applyFill="1" applyAlignment="1">
      <alignment vertical="center" wrapText="1"/>
    </xf>
    <xf numFmtId="0" fontId="3" fillId="3" borderId="1" xfId="0" applyFont="1" applyFill="1" applyBorder="1" applyAlignment="1">
      <alignment vertical="center" wrapText="1"/>
    </xf>
    <xf numFmtId="0" fontId="3" fillId="3" borderId="2" xfId="0" applyFont="1" applyFill="1" applyBorder="1" applyAlignment="1">
      <alignment vertical="center" wrapText="1"/>
    </xf>
    <xf numFmtId="0" fontId="3" fillId="3" borderId="0" xfId="0" applyFont="1" applyFill="1" applyAlignment="1">
      <alignment vertical="center"/>
    </xf>
    <xf numFmtId="0" fontId="12" fillId="0" borderId="4" xfId="0" applyFont="1" applyBorder="1" applyAlignment="1">
      <alignment horizontal="center" vertical="center" wrapText="1"/>
    </xf>
    <xf numFmtId="0" fontId="12" fillId="0" borderId="13" xfId="0" applyFont="1" applyBorder="1" applyAlignment="1">
      <alignment horizontal="center" vertical="center" wrapText="1"/>
    </xf>
    <xf numFmtId="0" fontId="3" fillId="3" borderId="13" xfId="0" applyFont="1" applyFill="1" applyBorder="1" applyAlignment="1">
      <alignment horizontal="center" vertical="center" wrapText="1"/>
    </xf>
    <xf numFmtId="0" fontId="4" fillId="0" borderId="4"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5" fillId="0" borderId="0" xfId="0" applyFont="1"/>
    <xf numFmtId="0" fontId="9" fillId="0" borderId="0" xfId="0" applyFont="1"/>
    <xf numFmtId="0" fontId="17" fillId="0" borderId="0" xfId="0" applyFont="1"/>
    <xf numFmtId="0" fontId="15" fillId="0" borderId="0" xfId="0" applyFont="1" applyAlignment="1">
      <alignment horizontal="center" vertical="center"/>
    </xf>
    <xf numFmtId="0" fontId="4" fillId="0" borderId="0" xfId="0" applyFont="1" applyAlignment="1">
      <alignment horizontal="left" wrapText="1"/>
    </xf>
    <xf numFmtId="0" fontId="5" fillId="2" borderId="10" xfId="0" applyFont="1" applyFill="1" applyBorder="1" applyAlignment="1">
      <alignment horizontal="center" vertical="center" wrapText="1"/>
    </xf>
    <xf numFmtId="0" fontId="19" fillId="2" borderId="10" xfId="0" applyFont="1" applyFill="1" applyBorder="1" applyAlignment="1">
      <alignment horizontal="center" vertical="center" wrapText="1"/>
    </xf>
    <xf numFmtId="49" fontId="20" fillId="2" borderId="10" xfId="0" applyNumberFormat="1" applyFont="1" applyFill="1" applyBorder="1" applyAlignment="1">
      <alignment horizontal="center" vertical="center" wrapText="1"/>
    </xf>
    <xf numFmtId="49" fontId="4" fillId="2" borderId="10" xfId="0" applyNumberFormat="1" applyFont="1" applyFill="1" applyBorder="1" applyAlignment="1">
      <alignment horizontal="center" vertical="center" wrapText="1"/>
    </xf>
    <xf numFmtId="43" fontId="19" fillId="3" borderId="10" xfId="1" applyFont="1" applyFill="1" applyBorder="1" applyAlignment="1">
      <alignment horizontal="center" vertical="center"/>
    </xf>
    <xf numFmtId="2" fontId="19" fillId="3" borderId="10" xfId="0" applyNumberFormat="1" applyFont="1" applyFill="1" applyBorder="1" applyAlignment="1">
      <alignment horizontal="center" vertical="center"/>
    </xf>
    <xf numFmtId="0" fontId="19" fillId="0" borderId="10" xfId="0" applyFont="1" applyBorder="1" applyAlignment="1">
      <alignment horizontal="center" vertical="center"/>
    </xf>
    <xf numFmtId="1" fontId="19" fillId="0" borderId="10" xfId="0" applyNumberFormat="1" applyFont="1" applyBorder="1" applyAlignment="1">
      <alignment horizontal="center" vertical="center"/>
    </xf>
    <xf numFmtId="165" fontId="19" fillId="0" borderId="10" xfId="1" applyNumberFormat="1" applyFont="1" applyBorder="1" applyAlignment="1">
      <alignment horizontal="center" vertical="center"/>
    </xf>
    <xf numFmtId="165" fontId="5" fillId="0" borderId="0" xfId="0" applyNumberFormat="1" applyFont="1"/>
    <xf numFmtId="1" fontId="19" fillId="0" borderId="0" xfId="0" applyNumberFormat="1" applyFont="1" applyAlignment="1">
      <alignment horizontal="center" wrapText="1"/>
    </xf>
    <xf numFmtId="0" fontId="21" fillId="0" borderId="0" xfId="0" applyFont="1"/>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2" fontId="3" fillId="0" borderId="1" xfId="0" applyNumberFormat="1" applyFont="1" applyBorder="1" applyAlignment="1">
      <alignment horizontal="center" vertical="center"/>
    </xf>
    <xf numFmtId="2" fontId="3" fillId="3" borderId="1" xfId="0" applyNumberFormat="1" applyFont="1" applyFill="1" applyBorder="1" applyAlignment="1">
      <alignment horizontal="center" vertical="center"/>
    </xf>
    <xf numFmtId="0" fontId="3" fillId="0" borderId="1" xfId="0" applyFont="1" applyBorder="1" applyAlignment="1">
      <alignment horizontal="center" vertical="center"/>
    </xf>
    <xf numFmtId="165" fontId="3" fillId="0" borderId="1" xfId="1" applyNumberFormat="1" applyFont="1" applyFill="1" applyBorder="1" applyAlignment="1">
      <alignment horizontal="center" vertical="center"/>
    </xf>
    <xf numFmtId="165" fontId="3" fillId="0" borderId="1" xfId="1" applyNumberFormat="1" applyFont="1" applyBorder="1" applyAlignment="1">
      <alignment horizontal="center" vertical="center"/>
    </xf>
    <xf numFmtId="0" fontId="0" fillId="0" borderId="1" xfId="0" applyBorder="1"/>
    <xf numFmtId="165" fontId="15" fillId="0" borderId="0" xfId="0" applyNumberFormat="1" applyFont="1"/>
    <xf numFmtId="43" fontId="3" fillId="3" borderId="10" xfId="1" applyFont="1" applyFill="1" applyBorder="1" applyAlignment="1">
      <alignment horizontal="center" vertical="center"/>
    </xf>
    <xf numFmtId="0" fontId="25" fillId="0" borderId="0" xfId="0" applyFont="1"/>
    <xf numFmtId="0" fontId="25" fillId="0" borderId="0" xfId="0" applyFont="1" applyAlignment="1">
      <alignment wrapText="1"/>
    </xf>
    <xf numFmtId="0" fontId="27" fillId="4" borderId="10" xfId="0" applyFont="1" applyFill="1" applyBorder="1" applyAlignment="1">
      <alignment horizontal="center" vertical="center" wrapText="1"/>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4" fillId="9" borderId="1" xfId="0" applyFont="1" applyFill="1" applyBorder="1" applyAlignment="1">
      <alignment wrapText="1"/>
    </xf>
    <xf numFmtId="0" fontId="3" fillId="3" borderId="9" xfId="0" applyFont="1" applyFill="1" applyBorder="1" applyAlignment="1">
      <alignment horizontal="center" vertical="center" wrapText="1"/>
    </xf>
    <xf numFmtId="2" fontId="3" fillId="3" borderId="9" xfId="0" applyNumberFormat="1" applyFont="1" applyFill="1" applyBorder="1" applyAlignment="1">
      <alignment horizontal="center" vertical="center" wrapText="1"/>
    </xf>
    <xf numFmtId="0" fontId="3" fillId="0" borderId="10" xfId="0" applyFont="1" applyBorder="1" applyAlignment="1">
      <alignment wrapText="1"/>
    </xf>
    <xf numFmtId="0" fontId="16" fillId="0" borderId="0" xfId="3" applyFont="1" applyAlignment="1">
      <alignment horizontal="left" vertical="center" wrapText="1"/>
    </xf>
    <xf numFmtId="0" fontId="3" fillId="3" borderId="0" xfId="3" applyFont="1" applyFill="1"/>
    <xf numFmtId="0" fontId="3" fillId="3" borderId="0" xfId="3" applyFont="1" applyFill="1" applyAlignment="1">
      <alignment horizontal="right"/>
    </xf>
    <xf numFmtId="0" fontId="3" fillId="3" borderId="1" xfId="3" applyFont="1" applyFill="1" applyBorder="1" applyAlignment="1">
      <alignment horizontal="center" vertical="center" wrapText="1"/>
    </xf>
    <xf numFmtId="0" fontId="3" fillId="3" borderId="0" xfId="3" applyFont="1" applyFill="1" applyAlignment="1">
      <alignment vertical="center" wrapText="1"/>
    </xf>
    <xf numFmtId="0" fontId="3" fillId="3" borderId="35" xfId="3" applyFont="1" applyFill="1" applyBorder="1" applyAlignment="1">
      <alignment horizontal="center" vertical="center"/>
    </xf>
    <xf numFmtId="0" fontId="13" fillId="3" borderId="35" xfId="3" applyFont="1" applyFill="1" applyBorder="1" applyAlignment="1" applyProtection="1">
      <alignment horizontal="center" vertical="center" wrapText="1"/>
      <protection locked="0"/>
    </xf>
    <xf numFmtId="2" fontId="13" fillId="3" borderId="35" xfId="3" applyNumberFormat="1" applyFont="1" applyFill="1" applyBorder="1" applyAlignment="1" applyProtection="1">
      <alignment horizontal="center" vertical="center" wrapText="1"/>
      <protection locked="0"/>
    </xf>
    <xf numFmtId="2" fontId="13" fillId="3" borderId="35" xfId="3" applyNumberFormat="1" applyFont="1" applyFill="1" applyBorder="1" applyAlignment="1">
      <alignment horizontal="center" vertical="center"/>
    </xf>
    <xf numFmtId="2" fontId="14" fillId="6" borderId="35" xfId="3" applyNumberFormat="1" applyFont="1" applyFill="1" applyBorder="1" applyAlignment="1">
      <alignment horizontal="center" vertical="center"/>
    </xf>
    <xf numFmtId="2" fontId="3" fillId="3" borderId="35" xfId="3" applyNumberFormat="1" applyFont="1" applyFill="1" applyBorder="1" applyAlignment="1">
      <alignment horizontal="center" vertical="center"/>
    </xf>
    <xf numFmtId="0" fontId="3" fillId="3" borderId="0" xfId="3" applyFont="1" applyFill="1" applyAlignment="1">
      <alignment horizontal="left"/>
    </xf>
    <xf numFmtId="2" fontId="14" fillId="0" borderId="1" xfId="2" applyNumberFormat="1" applyFont="1" applyBorder="1" applyAlignment="1">
      <alignment horizontal="center" vertical="center" wrapText="1"/>
    </xf>
    <xf numFmtId="2" fontId="14" fillId="0" borderId="1" xfId="4" applyNumberFormat="1" applyFont="1" applyBorder="1" applyAlignment="1">
      <alignment horizontal="center" vertical="center"/>
    </xf>
    <xf numFmtId="0" fontId="14" fillId="0" borderId="1" xfId="2" applyFont="1" applyBorder="1" applyAlignment="1">
      <alignment horizontal="center" vertical="center" wrapText="1"/>
    </xf>
    <xf numFmtId="0" fontId="15" fillId="4" borderId="0" xfId="3" applyFont="1" applyFill="1"/>
    <xf numFmtId="0" fontId="15" fillId="4" borderId="1" xfId="3" applyFont="1" applyFill="1" applyBorder="1" applyAlignment="1">
      <alignment horizontal="center" vertical="center" wrapText="1"/>
    </xf>
    <xf numFmtId="0" fontId="14" fillId="4" borderId="1" xfId="3" applyFont="1" applyFill="1" applyBorder="1" applyAlignment="1">
      <alignment horizontal="left" vertical="center" wrapText="1"/>
    </xf>
    <xf numFmtId="0" fontId="16" fillId="4" borderId="1" xfId="3" applyFont="1" applyFill="1" applyBorder="1" applyAlignment="1">
      <alignment horizontal="left" vertical="center" wrapText="1"/>
    </xf>
    <xf numFmtId="0" fontId="3" fillId="11" borderId="35" xfId="3" applyFont="1" applyFill="1" applyBorder="1" applyAlignment="1">
      <alignment horizontal="center" vertical="center" wrapText="1"/>
    </xf>
    <xf numFmtId="0" fontId="3" fillId="11" borderId="35" xfId="3" applyFont="1" applyFill="1" applyBorder="1"/>
    <xf numFmtId="0" fontId="3" fillId="11" borderId="35" xfId="3" applyFont="1" applyFill="1" applyBorder="1" applyAlignment="1">
      <alignment horizontal="center"/>
    </xf>
    <xf numFmtId="0" fontId="3" fillId="11" borderId="35" xfId="5" applyFont="1" applyFill="1" applyBorder="1" applyAlignment="1">
      <alignment horizontal="center" vertical="center" wrapText="1"/>
    </xf>
    <xf numFmtId="0" fontId="3" fillId="11" borderId="35" xfId="3" applyFont="1" applyFill="1" applyBorder="1" applyAlignment="1">
      <alignment horizontal="center" wrapText="1"/>
    </xf>
    <xf numFmtId="0" fontId="3" fillId="11" borderId="1" xfId="2" applyFont="1" applyFill="1" applyBorder="1" applyAlignment="1">
      <alignment horizontal="center" vertical="center" wrapText="1"/>
    </xf>
    <xf numFmtId="0" fontId="3" fillId="11" borderId="1" xfId="2" applyFont="1" applyFill="1" applyBorder="1" applyAlignment="1">
      <alignment horizontal="center" vertical="center"/>
    </xf>
    <xf numFmtId="0" fontId="13" fillId="11" borderId="1" xfId="2" applyFont="1" applyFill="1" applyBorder="1" applyAlignment="1">
      <alignment horizontal="center" vertical="center" wrapText="1"/>
    </xf>
    <xf numFmtId="0" fontId="3" fillId="0" borderId="20" xfId="0" applyFont="1" applyBorder="1" applyAlignment="1">
      <alignment wrapText="1"/>
    </xf>
    <xf numFmtId="0" fontId="3" fillId="0" borderId="0" xfId="0" applyFont="1"/>
    <xf numFmtId="0" fontId="3" fillId="0" borderId="2" xfId="0" applyFont="1" applyBorder="1" applyAlignment="1">
      <alignment wrapText="1"/>
    </xf>
    <xf numFmtId="0" fontId="3" fillId="0" borderId="0" xfId="0" applyFont="1" applyAlignment="1">
      <alignment horizontal="right" wrapText="1"/>
    </xf>
    <xf numFmtId="0" fontId="14" fillId="0" borderId="4" xfId="0" applyFont="1" applyBorder="1" applyAlignment="1">
      <alignment wrapText="1"/>
    </xf>
    <xf numFmtId="0" fontId="14" fillId="0" borderId="13" xfId="0" applyFont="1" applyBorder="1" applyAlignment="1">
      <alignment wrapText="1"/>
    </xf>
    <xf numFmtId="0" fontId="3" fillId="0" borderId="13" xfId="0" applyFont="1" applyBorder="1" applyAlignment="1">
      <alignment wrapText="1"/>
    </xf>
    <xf numFmtId="0" fontId="3" fillId="0" borderId="0" xfId="0" applyFont="1" applyAlignment="1">
      <alignment wrapText="1"/>
    </xf>
    <xf numFmtId="0" fontId="13" fillId="0" borderId="4" xfId="0" applyFont="1" applyBorder="1" applyAlignment="1">
      <alignment wrapText="1"/>
    </xf>
    <xf numFmtId="0" fontId="13" fillId="0" borderId="0" xfId="0" applyFont="1" applyAlignment="1">
      <alignment wrapText="1"/>
    </xf>
    <xf numFmtId="0" fontId="3" fillId="4" borderId="9" xfId="0" applyFont="1" applyFill="1" applyBorder="1" applyAlignment="1">
      <alignment wrapText="1"/>
    </xf>
    <xf numFmtId="0" fontId="3" fillId="4" borderId="13" xfId="0" applyFont="1" applyFill="1" applyBorder="1" applyAlignment="1">
      <alignment wrapText="1"/>
    </xf>
    <xf numFmtId="0" fontId="3" fillId="3" borderId="4" xfId="0" applyFont="1" applyFill="1" applyBorder="1" applyAlignment="1">
      <alignment wrapText="1"/>
    </xf>
    <xf numFmtId="0" fontId="3" fillId="3" borderId="13" xfId="0" applyFont="1" applyFill="1" applyBorder="1" applyAlignment="1">
      <alignment wrapText="1"/>
    </xf>
    <xf numFmtId="0" fontId="2" fillId="0" borderId="0" xfId="0" applyFont="1"/>
    <xf numFmtId="0" fontId="3" fillId="3" borderId="1" xfId="0" applyFont="1" applyFill="1" applyBorder="1" applyAlignment="1">
      <alignment horizontal="center" wrapText="1"/>
    </xf>
    <xf numFmtId="0" fontId="3" fillId="3" borderId="2" xfId="0" applyFont="1" applyFill="1" applyBorder="1" applyAlignment="1">
      <alignment horizontal="center" wrapText="1"/>
    </xf>
    <xf numFmtId="0" fontId="14" fillId="0" borderId="4" xfId="0" applyFont="1" applyBorder="1" applyAlignment="1">
      <alignment horizontal="center" wrapText="1"/>
    </xf>
    <xf numFmtId="0" fontId="14" fillId="0" borderId="13" xfId="0" applyFont="1" applyBorder="1" applyAlignment="1">
      <alignment horizontal="center" wrapText="1"/>
    </xf>
    <xf numFmtId="0" fontId="3" fillId="3" borderId="13" xfId="0" applyFont="1" applyFill="1" applyBorder="1" applyAlignment="1">
      <alignment horizontal="center" wrapText="1"/>
    </xf>
    <xf numFmtId="166" fontId="13" fillId="0" borderId="4" xfId="0" applyNumberFormat="1" applyFont="1" applyBorder="1" applyAlignment="1">
      <alignment horizontal="center" wrapText="1"/>
    </xf>
    <xf numFmtId="0" fontId="3" fillId="0" borderId="0" xfId="0" applyFont="1" applyAlignment="1">
      <alignment horizontal="center" vertical="center"/>
    </xf>
    <xf numFmtId="0" fontId="3" fillId="4" borderId="9"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3" fillId="4" borderId="9" xfId="0" applyFont="1" applyFill="1" applyBorder="1" applyAlignment="1">
      <alignment horizontal="center" vertical="center" wrapText="1"/>
    </xf>
    <xf numFmtId="2" fontId="2" fillId="6" borderId="9" xfId="0" applyNumberFormat="1" applyFont="1" applyFill="1" applyBorder="1" applyAlignment="1">
      <alignment horizontal="center" vertical="center"/>
    </xf>
    <xf numFmtId="0" fontId="13" fillId="2" borderId="8"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3" fillId="0" borderId="2" xfId="0" applyFont="1" applyBorder="1" applyAlignment="1">
      <alignment horizontal="center" vertical="center"/>
    </xf>
    <xf numFmtId="1" fontId="3" fillId="0" borderId="2" xfId="0" applyNumberFormat="1" applyFont="1" applyBorder="1" applyAlignment="1">
      <alignment horizontal="center" vertical="center"/>
    </xf>
    <xf numFmtId="165" fontId="3" fillId="0" borderId="2" xfId="1" applyNumberFormat="1" applyFont="1" applyBorder="1" applyAlignment="1">
      <alignment horizontal="center" vertical="center"/>
    </xf>
    <xf numFmtId="1" fontId="13" fillId="0" borderId="0" xfId="0" applyNumberFormat="1" applyFont="1" applyAlignment="1">
      <alignment wrapText="1"/>
    </xf>
    <xf numFmtId="0" fontId="13" fillId="0" borderId="0" xfId="0" applyFont="1"/>
    <xf numFmtId="0" fontId="3" fillId="2" borderId="10" xfId="0" applyFont="1" applyFill="1" applyBorder="1" applyAlignment="1">
      <alignment horizontal="center" vertical="center" wrapText="1"/>
    </xf>
    <xf numFmtId="0" fontId="5" fillId="0" borderId="20" xfId="0" applyFont="1" applyBorder="1" applyAlignment="1">
      <alignment wrapText="1"/>
    </xf>
    <xf numFmtId="0" fontId="15" fillId="4" borderId="1" xfId="0" applyFont="1" applyFill="1" applyBorder="1"/>
    <xf numFmtId="0" fontId="15" fillId="4" borderId="1" xfId="0" applyFont="1" applyFill="1" applyBorder="1" applyAlignment="1">
      <alignment horizontal="center" vertical="center"/>
    </xf>
    <xf numFmtId="0" fontId="15" fillId="4" borderId="1" xfId="0" applyFont="1" applyFill="1" applyBorder="1" applyAlignment="1">
      <alignment horizontal="center" vertical="center" wrapText="1"/>
    </xf>
    <xf numFmtId="0" fontId="15" fillId="0" borderId="1" xfId="0" applyFont="1" applyBorder="1"/>
    <xf numFmtId="0" fontId="15" fillId="0" borderId="1" xfId="0" applyFont="1" applyBorder="1" applyAlignment="1">
      <alignment horizontal="center" vertical="center"/>
    </xf>
    <xf numFmtId="165" fontId="15" fillId="0" borderId="1" xfId="1" applyNumberFormat="1" applyFont="1" applyBorder="1" applyAlignment="1">
      <alignment horizontal="center" vertical="center"/>
    </xf>
    <xf numFmtId="167" fontId="15" fillId="0" borderId="1" xfId="0" applyNumberFormat="1" applyFont="1" applyBorder="1" applyAlignment="1">
      <alignment horizontal="center" vertical="center"/>
    </xf>
    <xf numFmtId="167" fontId="15" fillId="0" borderId="1" xfId="0" applyNumberFormat="1" applyFont="1" applyBorder="1"/>
    <xf numFmtId="0" fontId="15" fillId="0" borderId="1" xfId="0" applyFont="1" applyBorder="1" applyAlignment="1">
      <alignment horizontal="left" wrapText="1"/>
    </xf>
    <xf numFmtId="2" fontId="15" fillId="0" borderId="1" xfId="0" applyNumberFormat="1" applyFont="1" applyBorder="1" applyAlignment="1">
      <alignment horizontal="center"/>
    </xf>
    <xf numFmtId="0" fontId="15" fillId="0" borderId="1" xfId="0" applyFont="1" applyBorder="1" applyAlignment="1">
      <alignment wrapText="1"/>
    </xf>
    <xf numFmtId="2" fontId="15" fillId="0" borderId="1" xfId="0" applyNumberFormat="1" applyFont="1" applyBorder="1" applyAlignment="1">
      <alignment horizontal="center" vertical="center"/>
    </xf>
    <xf numFmtId="0" fontId="15" fillId="0" borderId="0" xfId="0" applyFont="1" applyAlignment="1">
      <alignment horizontal="center"/>
    </xf>
    <xf numFmtId="0" fontId="15" fillId="0" borderId="0" xfId="0" applyFont="1" applyAlignment="1">
      <alignment horizontal="left"/>
    </xf>
    <xf numFmtId="165" fontId="15" fillId="0" borderId="1" xfId="1" applyNumberFormat="1" applyFont="1" applyBorder="1"/>
    <xf numFmtId="0" fontId="16" fillId="4" borderId="1" xfId="0" applyFont="1" applyFill="1" applyBorder="1" applyAlignment="1">
      <alignment horizontal="center"/>
    </xf>
    <xf numFmtId="0" fontId="16" fillId="4" borderId="1" xfId="0" applyFont="1" applyFill="1" applyBorder="1" applyAlignment="1">
      <alignment horizontal="left"/>
    </xf>
    <xf numFmtId="0" fontId="16" fillId="4" borderId="1" xfId="0" applyFont="1" applyFill="1" applyBorder="1"/>
    <xf numFmtId="0" fontId="15" fillId="0" borderId="1" xfId="0" applyFont="1" applyBorder="1" applyAlignment="1">
      <alignment horizontal="center"/>
    </xf>
    <xf numFmtId="0" fontId="33" fillId="0" borderId="0" xfId="0" applyFont="1"/>
    <xf numFmtId="0" fontId="33" fillId="0" borderId="0" xfId="3" applyFont="1" applyAlignment="1">
      <alignment horizontal="left"/>
    </xf>
    <xf numFmtId="0" fontId="37" fillId="0" borderId="0" xfId="0" applyFont="1"/>
    <xf numFmtId="0" fontId="33" fillId="8" borderId="0" xfId="3" applyFont="1" applyFill="1"/>
    <xf numFmtId="0" fontId="33" fillId="8" borderId="1" xfId="3" applyFont="1" applyFill="1" applyBorder="1" applyAlignment="1">
      <alignment horizontal="center" vertical="center" wrapText="1"/>
    </xf>
    <xf numFmtId="0" fontId="33" fillId="8" borderId="0" xfId="3" applyFont="1" applyFill="1" applyAlignment="1">
      <alignment vertical="center" wrapText="1"/>
    </xf>
    <xf numFmtId="0" fontId="33" fillId="8" borderId="0" xfId="3" applyFont="1" applyFill="1" applyAlignment="1">
      <alignment horizontal="right"/>
    </xf>
    <xf numFmtId="1" fontId="38" fillId="0" borderId="1" xfId="4" applyNumberFormat="1" applyFont="1" applyBorder="1" applyAlignment="1" applyProtection="1">
      <alignment horizontal="center" wrapText="1"/>
      <protection locked="0"/>
    </xf>
    <xf numFmtId="0" fontId="33" fillId="8" borderId="1" xfId="3" applyFont="1" applyFill="1" applyBorder="1" applyAlignment="1">
      <alignment horizontal="center" vertical="center"/>
    </xf>
    <xf numFmtId="2" fontId="44" fillId="0" borderId="1" xfId="4" applyNumberFormat="1" applyFont="1" applyBorder="1" applyAlignment="1" applyProtection="1">
      <alignment horizontal="center" wrapText="1"/>
      <protection locked="0"/>
    </xf>
    <xf numFmtId="2" fontId="33" fillId="8" borderId="1" xfId="3" applyNumberFormat="1" applyFont="1" applyFill="1" applyBorder="1" applyAlignment="1">
      <alignment horizontal="center" vertical="center" wrapText="1"/>
    </xf>
    <xf numFmtId="0" fontId="33" fillId="4" borderId="1" xfId="3" applyFont="1" applyFill="1" applyBorder="1" applyAlignment="1">
      <alignment horizontal="center" vertical="center" wrapText="1"/>
    </xf>
    <xf numFmtId="0" fontId="33" fillId="4" borderId="1" xfId="5" applyFont="1" applyFill="1" applyBorder="1" applyAlignment="1">
      <alignment horizontal="center" vertical="center" wrapText="1"/>
    </xf>
    <xf numFmtId="49" fontId="44" fillId="0" borderId="1" xfId="4" applyNumberFormat="1" applyFont="1" applyBorder="1" applyAlignment="1">
      <alignment horizontal="center" vertical="center" wrapText="1"/>
    </xf>
    <xf numFmtId="49" fontId="44" fillId="0" borderId="1" xfId="4" applyNumberFormat="1" applyFont="1" applyBorder="1" applyAlignment="1">
      <alignment horizontal="left" vertical="center" wrapText="1"/>
    </xf>
    <xf numFmtId="0" fontId="44" fillId="0" borderId="1" xfId="3" applyFont="1" applyBorder="1" applyAlignment="1" applyProtection="1">
      <alignment horizontal="center" vertical="center" wrapText="1"/>
      <protection locked="0"/>
    </xf>
    <xf numFmtId="2" fontId="44" fillId="0" borderId="1" xfId="3" applyNumberFormat="1" applyFont="1" applyBorder="1" applyAlignment="1" applyProtection="1">
      <alignment horizontal="center" vertical="center" wrapText="1"/>
      <protection locked="0"/>
    </xf>
    <xf numFmtId="2" fontId="33" fillId="0" borderId="1" xfId="3" applyNumberFormat="1" applyFont="1" applyBorder="1" applyAlignment="1">
      <alignment horizontal="center" vertical="center"/>
    </xf>
    <xf numFmtId="2" fontId="37" fillId="0" borderId="1" xfId="3" applyNumberFormat="1" applyFont="1" applyBorder="1" applyAlignment="1">
      <alignment horizontal="center" vertical="center"/>
    </xf>
    <xf numFmtId="2" fontId="38" fillId="0" borderId="1" xfId="3" applyNumberFormat="1" applyFont="1" applyBorder="1" applyAlignment="1">
      <alignment horizontal="center" vertical="center"/>
    </xf>
    <xf numFmtId="0" fontId="33" fillId="0" borderId="1" xfId="3" applyFont="1" applyBorder="1" applyAlignment="1">
      <alignment horizontal="center" vertical="center"/>
    </xf>
    <xf numFmtId="2" fontId="44" fillId="0" borderId="1" xfId="3" applyNumberFormat="1" applyFont="1" applyBorder="1" applyAlignment="1">
      <alignment horizontal="center" vertical="center"/>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49" fontId="13" fillId="4" borderId="10" xfId="0" applyNumberFormat="1" applyFont="1" applyFill="1" applyBorder="1" applyAlignment="1">
      <alignment horizontal="center" vertical="center" wrapText="1"/>
    </xf>
    <xf numFmtId="0" fontId="13" fillId="0" borderId="1" xfId="0" applyFont="1" applyBorder="1" applyAlignment="1">
      <alignment wrapText="1"/>
    </xf>
    <xf numFmtId="2" fontId="13" fillId="3" borderId="2" xfId="0" applyNumberFormat="1" applyFont="1" applyFill="1" applyBorder="1" applyAlignment="1">
      <alignment horizontal="center" vertical="center"/>
    </xf>
    <xf numFmtId="43" fontId="13" fillId="3" borderId="10" xfId="1" applyFont="1" applyFill="1" applyBorder="1" applyAlignment="1">
      <alignment horizontal="center" vertical="center"/>
    </xf>
    <xf numFmtId="2" fontId="13" fillId="3" borderId="10" xfId="0" applyNumberFormat="1" applyFont="1" applyFill="1" applyBorder="1" applyAlignment="1">
      <alignment horizontal="center" vertical="center"/>
    </xf>
    <xf numFmtId="1" fontId="13" fillId="0" borderId="10" xfId="0" applyNumberFormat="1" applyFont="1" applyBorder="1" applyAlignment="1">
      <alignment horizontal="center" vertical="center"/>
    </xf>
    <xf numFmtId="49" fontId="13" fillId="4" borderId="19" xfId="0" applyNumberFormat="1" applyFont="1" applyFill="1" applyBorder="1" applyAlignment="1">
      <alignment horizontal="center" vertical="center" wrapText="1"/>
    </xf>
    <xf numFmtId="0" fontId="13" fillId="0" borderId="3" xfId="0" applyFont="1" applyBorder="1" applyAlignment="1">
      <alignment wrapText="1"/>
    </xf>
    <xf numFmtId="2" fontId="13" fillId="3" borderId="12" xfId="0" applyNumberFormat="1" applyFont="1" applyFill="1" applyBorder="1" applyAlignment="1">
      <alignment horizontal="center" vertical="center"/>
    </xf>
    <xf numFmtId="43" fontId="13" fillId="3" borderId="19" xfId="1" applyFont="1" applyFill="1" applyBorder="1" applyAlignment="1">
      <alignment horizontal="center" vertical="center"/>
    </xf>
    <xf numFmtId="0" fontId="42" fillId="4" borderId="1" xfId="0" applyFont="1" applyFill="1" applyBorder="1" applyAlignment="1">
      <alignment horizontal="center" vertical="center"/>
    </xf>
    <xf numFmtId="0" fontId="42" fillId="0" borderId="1" xfId="0" applyFont="1" applyBorder="1" applyAlignment="1">
      <alignment vertical="center" wrapText="1"/>
    </xf>
    <xf numFmtId="4" fontId="42" fillId="0" borderId="1" xfId="0" applyNumberFormat="1" applyFont="1" applyBorder="1" applyAlignment="1">
      <alignment horizontal="center" vertical="center"/>
    </xf>
    <xf numFmtId="2" fontId="42" fillId="3" borderId="1" xfId="0" applyNumberFormat="1" applyFont="1" applyFill="1" applyBorder="1" applyAlignment="1">
      <alignment horizontal="center" vertical="center"/>
    </xf>
    <xf numFmtId="2" fontId="13" fillId="3" borderId="21" xfId="0" applyNumberFormat="1" applyFont="1" applyFill="1" applyBorder="1" applyAlignment="1">
      <alignment horizontal="center" vertical="center"/>
    </xf>
    <xf numFmtId="0" fontId="49" fillId="13" borderId="0" xfId="0" applyFont="1" applyFill="1"/>
    <xf numFmtId="0" fontId="49" fillId="13" borderId="0" xfId="0" applyFont="1" applyFill="1" applyAlignment="1">
      <alignment wrapText="1"/>
    </xf>
    <xf numFmtId="0" fontId="50" fillId="14" borderId="1" xfId="0" applyFont="1" applyFill="1" applyBorder="1"/>
    <xf numFmtId="0" fontId="51" fillId="14" borderId="1" xfId="0" applyFont="1" applyFill="1" applyBorder="1" applyAlignment="1">
      <alignment wrapText="1"/>
    </xf>
    <xf numFmtId="0" fontId="50" fillId="14" borderId="1" xfId="0" applyFont="1" applyFill="1" applyBorder="1" applyAlignment="1">
      <alignment wrapText="1"/>
    </xf>
    <xf numFmtId="3" fontId="53" fillId="14" borderId="1" xfId="0" applyNumberFormat="1" applyFont="1" applyFill="1" applyBorder="1" applyAlignment="1">
      <alignment wrapText="1"/>
    </xf>
    <xf numFmtId="0" fontId="53" fillId="14" borderId="1" xfId="0" applyFont="1" applyFill="1" applyBorder="1" applyAlignment="1">
      <alignment wrapText="1"/>
    </xf>
    <xf numFmtId="0" fontId="50" fillId="14" borderId="0" xfId="0" applyFont="1" applyFill="1" applyAlignment="1">
      <alignment wrapText="1"/>
    </xf>
    <xf numFmtId="0" fontId="50" fillId="0" borderId="1" xfId="0" applyFont="1" applyBorder="1"/>
    <xf numFmtId="0" fontId="50" fillId="0" borderId="1" xfId="0" applyFont="1" applyBorder="1" applyAlignment="1">
      <alignment wrapText="1"/>
    </xf>
    <xf numFmtId="3" fontId="53" fillId="3" borderId="1" xfId="0" applyNumberFormat="1" applyFont="1" applyFill="1" applyBorder="1" applyAlignment="1">
      <alignment wrapText="1"/>
    </xf>
    <xf numFmtId="0" fontId="53" fillId="3" borderId="1" xfId="0" applyFont="1" applyFill="1" applyBorder="1" applyAlignment="1">
      <alignment wrapText="1"/>
    </xf>
    <xf numFmtId="0" fontId="50" fillId="0" borderId="0" xfId="0" applyFont="1" applyAlignment="1">
      <alignment wrapText="1"/>
    </xf>
    <xf numFmtId="0" fontId="54" fillId="0" borderId="0" xfId="0" applyFont="1"/>
    <xf numFmtId="0" fontId="54" fillId="0" borderId="0" xfId="0" applyFont="1" applyAlignment="1">
      <alignment wrapText="1"/>
    </xf>
    <xf numFmtId="0" fontId="50" fillId="0" borderId="0" xfId="0" applyFont="1" applyAlignment="1">
      <alignment horizontal="left" vertical="center"/>
    </xf>
    <xf numFmtId="0" fontId="47" fillId="0" borderId="0" xfId="7" applyAlignment="1">
      <alignment horizontal="left" vertical="center"/>
    </xf>
    <xf numFmtId="2" fontId="3" fillId="3" borderId="13" xfId="0" applyNumberFormat="1" applyFont="1" applyFill="1" applyBorder="1" applyAlignment="1">
      <alignment wrapText="1"/>
    </xf>
    <xf numFmtId="0" fontId="3" fillId="0" borderId="9" xfId="0" applyFont="1" applyBorder="1" applyAlignment="1">
      <alignment wrapText="1"/>
    </xf>
    <xf numFmtId="0" fontId="13" fillId="0" borderId="15" xfId="0" applyFont="1" applyBorder="1" applyAlignment="1">
      <alignment wrapText="1"/>
    </xf>
    <xf numFmtId="0" fontId="13" fillId="0" borderId="24" xfId="0" applyFont="1" applyBorder="1" applyAlignment="1">
      <alignment wrapText="1"/>
    </xf>
    <xf numFmtId="0" fontId="13" fillId="3" borderId="24" xfId="0" applyFont="1" applyFill="1" applyBorder="1" applyAlignment="1">
      <alignment wrapText="1"/>
    </xf>
    <xf numFmtId="0" fontId="3" fillId="3" borderId="24" xfId="0" applyFont="1" applyFill="1" applyBorder="1"/>
    <xf numFmtId="0" fontId="13" fillId="0" borderId="1" xfId="0" applyFont="1" applyBorder="1"/>
    <xf numFmtId="0" fontId="13" fillId="0" borderId="2" xfId="0" applyFont="1" applyBorder="1"/>
    <xf numFmtId="0" fontId="13" fillId="3" borderId="0" xfId="0" applyFont="1" applyFill="1" applyAlignment="1">
      <alignment wrapText="1"/>
    </xf>
    <xf numFmtId="0" fontId="3" fillId="3" borderId="1" xfId="0" applyFont="1" applyFill="1" applyBorder="1" applyAlignment="1">
      <alignment wrapText="1"/>
    </xf>
    <xf numFmtId="0" fontId="8" fillId="3" borderId="1" xfId="0" applyFont="1" applyFill="1" applyBorder="1" applyAlignment="1">
      <alignment wrapText="1"/>
    </xf>
    <xf numFmtId="2" fontId="3" fillId="3" borderId="1" xfId="0" applyNumberFormat="1" applyFont="1" applyFill="1" applyBorder="1" applyAlignment="1">
      <alignment wrapText="1"/>
    </xf>
    <xf numFmtId="0" fontId="13" fillId="3" borderId="1" xfId="0" applyFont="1" applyFill="1" applyBorder="1" applyAlignment="1">
      <alignment wrapText="1"/>
    </xf>
    <xf numFmtId="165" fontId="2" fillId="15" borderId="13" xfId="1" applyNumberFormat="1" applyFont="1" applyFill="1" applyBorder="1" applyAlignment="1">
      <alignment wrapText="1"/>
    </xf>
    <xf numFmtId="0" fontId="3" fillId="0" borderId="42" xfId="0" applyFont="1" applyBorder="1" applyAlignment="1">
      <alignment wrapText="1"/>
    </xf>
    <xf numFmtId="0" fontId="3" fillId="4" borderId="24" xfId="0" applyFont="1" applyFill="1" applyBorder="1" applyAlignment="1">
      <alignment wrapText="1"/>
    </xf>
    <xf numFmtId="2" fontId="13" fillId="3" borderId="1" xfId="0" applyNumberFormat="1" applyFont="1" applyFill="1" applyBorder="1" applyAlignment="1">
      <alignment wrapText="1"/>
    </xf>
    <xf numFmtId="2" fontId="2" fillId="0" borderId="1" xfId="0" applyNumberFormat="1" applyFont="1" applyBorder="1"/>
    <xf numFmtId="2" fontId="2" fillId="0" borderId="1" xfId="0" applyNumberFormat="1" applyFont="1" applyBorder="1" applyAlignment="1">
      <alignment wrapText="1"/>
    </xf>
    <xf numFmtId="0" fontId="13" fillId="0" borderId="2" xfId="0" applyFont="1" applyBorder="1" applyAlignment="1">
      <alignment wrapText="1"/>
    </xf>
    <xf numFmtId="2" fontId="13" fillId="3" borderId="31" xfId="0" applyNumberFormat="1" applyFont="1" applyFill="1" applyBorder="1" applyAlignment="1">
      <alignment wrapText="1"/>
    </xf>
    <xf numFmtId="0" fontId="3" fillId="0" borderId="24" xfId="0" applyFont="1" applyBorder="1" applyAlignment="1">
      <alignment wrapText="1"/>
    </xf>
    <xf numFmtId="0" fontId="3" fillId="3" borderId="1" xfId="0" applyFont="1" applyFill="1" applyBorder="1"/>
    <xf numFmtId="2" fontId="13" fillId="0" borderId="1" xfId="0" applyNumberFormat="1" applyFont="1" applyBorder="1"/>
    <xf numFmtId="2" fontId="3" fillId="3" borderId="1" xfId="0" applyNumberFormat="1" applyFont="1" applyFill="1" applyBorder="1"/>
    <xf numFmtId="2" fontId="13" fillId="0" borderId="2" xfId="0" applyNumberFormat="1" applyFont="1" applyBorder="1"/>
    <xf numFmtId="0" fontId="19" fillId="0" borderId="4" xfId="0" applyFont="1" applyBorder="1" applyAlignment="1">
      <alignment vertical="center" wrapText="1"/>
    </xf>
    <xf numFmtId="3" fontId="15" fillId="0" borderId="1" xfId="0" applyNumberFormat="1" applyFont="1" applyBorder="1" applyAlignment="1">
      <alignment horizontal="center" vertical="center"/>
    </xf>
    <xf numFmtId="0" fontId="0" fillId="0" borderId="10" xfId="0" applyBorder="1"/>
    <xf numFmtId="0" fontId="31" fillId="2" borderId="2" xfId="0" applyFont="1" applyFill="1" applyBorder="1" applyAlignment="1">
      <alignment horizontal="center" vertical="center" wrapText="1"/>
    </xf>
    <xf numFmtId="165" fontId="31" fillId="3" borderId="2" xfId="1" applyNumberFormat="1" applyFont="1" applyFill="1" applyBorder="1" applyAlignment="1">
      <alignment horizontal="center" vertical="center"/>
    </xf>
    <xf numFmtId="0" fontId="5" fillId="0" borderId="0" xfId="0" applyFont="1" applyAlignment="1">
      <alignment horizontal="left" wrapText="1"/>
    </xf>
    <xf numFmtId="0" fontId="31" fillId="2" borderId="1" xfId="0" applyFont="1" applyFill="1" applyBorder="1" applyAlignment="1">
      <alignment horizontal="center" vertical="center" wrapText="1"/>
    </xf>
    <xf numFmtId="0" fontId="40" fillId="0" borderId="0" xfId="0" applyFont="1"/>
    <xf numFmtId="0" fontId="31" fillId="0" borderId="0" xfId="0" applyFont="1"/>
    <xf numFmtId="0" fontId="31" fillId="0" borderId="1" xfId="0" applyFont="1" applyBorder="1" applyAlignment="1">
      <alignment wrapText="1"/>
    </xf>
    <xf numFmtId="0" fontId="31" fillId="0" borderId="2" xfId="0" applyFont="1" applyBorder="1" applyAlignment="1">
      <alignment wrapText="1"/>
    </xf>
    <xf numFmtId="0" fontId="31" fillId="0" borderId="0" xfId="0" applyFont="1" applyAlignment="1">
      <alignment horizontal="right" wrapText="1"/>
    </xf>
    <xf numFmtId="0" fontId="56" fillId="0" borderId="4" xfId="0" applyFont="1" applyBorder="1" applyAlignment="1">
      <alignment wrapText="1"/>
    </xf>
    <xf numFmtId="0" fontId="56" fillId="0" borderId="13" xfId="0" applyFont="1" applyBorder="1" applyAlignment="1">
      <alignment wrapText="1"/>
    </xf>
    <xf numFmtId="0" fontId="31" fillId="0" borderId="13" xfId="0" applyFont="1" applyBorder="1" applyAlignment="1">
      <alignment wrapText="1"/>
    </xf>
    <xf numFmtId="0" fontId="42" fillId="0" borderId="4" xfId="0" applyFont="1" applyBorder="1" applyAlignment="1">
      <alignment wrapText="1"/>
    </xf>
    <xf numFmtId="164" fontId="0" fillId="0" borderId="0" xfId="0" applyNumberFormat="1"/>
    <xf numFmtId="0" fontId="15" fillId="0" borderId="0" xfId="0" applyFont="1" applyAlignment="1">
      <alignment vertical="center"/>
    </xf>
    <xf numFmtId="0" fontId="57" fillId="0" borderId="0" xfId="0" applyFont="1"/>
    <xf numFmtId="0" fontId="42" fillId="4" borderId="4" xfId="0" applyFont="1" applyFill="1" applyBorder="1" applyAlignment="1">
      <alignment horizontal="center" vertical="center"/>
    </xf>
    <xf numFmtId="0" fontId="42" fillId="0" borderId="4" xfId="0" applyFont="1" applyBorder="1" applyAlignment="1">
      <alignment vertical="center" wrapText="1"/>
    </xf>
    <xf numFmtId="4" fontId="42" fillId="0" borderId="4" xfId="0" applyNumberFormat="1" applyFont="1" applyBorder="1" applyAlignment="1">
      <alignment horizontal="center" vertical="center"/>
    </xf>
    <xf numFmtId="2" fontId="42" fillId="3" borderId="4" xfId="0" applyNumberFormat="1" applyFont="1" applyFill="1" applyBorder="1" applyAlignment="1">
      <alignment horizontal="center" vertical="center"/>
    </xf>
    <xf numFmtId="2" fontId="13" fillId="3" borderId="30" xfId="0" applyNumberFormat="1" applyFont="1" applyFill="1" applyBorder="1" applyAlignment="1">
      <alignment horizontal="center" vertical="center"/>
    </xf>
    <xf numFmtId="0" fontId="10" fillId="0" borderId="10" xfId="0" applyFont="1" applyBorder="1" applyAlignment="1">
      <alignment wrapText="1"/>
    </xf>
    <xf numFmtId="0" fontId="3" fillId="0" borderId="10" xfId="0" applyFont="1" applyBorder="1" applyAlignment="1">
      <alignment horizontal="center" wrapText="1"/>
    </xf>
    <xf numFmtId="1" fontId="13" fillId="0" borderId="10" xfId="0" applyNumberFormat="1" applyFont="1" applyBorder="1" applyAlignment="1">
      <alignment horizontal="center" wrapText="1"/>
    </xf>
    <xf numFmtId="165" fontId="14" fillId="4" borderId="10" xfId="1" applyNumberFormat="1" applyFont="1" applyFill="1" applyBorder="1" applyAlignment="1">
      <alignment horizontal="center" wrapText="1"/>
    </xf>
    <xf numFmtId="2" fontId="42" fillId="3" borderId="3" xfId="0" applyNumberFormat="1" applyFont="1" applyFill="1" applyBorder="1" applyAlignment="1">
      <alignment horizontal="center" vertical="center"/>
    </xf>
    <xf numFmtId="2" fontId="13" fillId="3" borderId="26" xfId="0" applyNumberFormat="1" applyFont="1" applyFill="1" applyBorder="1" applyAlignment="1">
      <alignment horizontal="center" vertical="center"/>
    </xf>
    <xf numFmtId="0" fontId="13" fillId="0" borderId="19" xfId="0" applyFont="1" applyBorder="1" applyAlignment="1">
      <alignment horizontal="center" vertical="center"/>
    </xf>
    <xf numFmtId="1" fontId="13" fillId="0" borderId="19" xfId="0" applyNumberFormat="1" applyFont="1" applyBorder="1" applyAlignment="1">
      <alignment horizontal="center" vertical="center"/>
    </xf>
    <xf numFmtId="0" fontId="0" fillId="0" borderId="0" xfId="0" applyAlignment="1">
      <alignment horizontal="left"/>
    </xf>
    <xf numFmtId="2" fontId="42" fillId="3" borderId="10" xfId="0" applyNumberFormat="1" applyFont="1" applyFill="1" applyBorder="1" applyAlignment="1">
      <alignment horizontal="center" vertical="center"/>
    </xf>
    <xf numFmtId="0" fontId="10" fillId="0" borderId="22" xfId="0" applyFont="1" applyBorder="1" applyAlignment="1">
      <alignment horizontal="center" wrapText="1"/>
    </xf>
    <xf numFmtId="0" fontId="10" fillId="0" borderId="22" xfId="0" applyFont="1" applyBorder="1" applyAlignment="1">
      <alignment wrapText="1"/>
    </xf>
    <xf numFmtId="2" fontId="10" fillId="0" borderId="22" xfId="0" applyNumberFormat="1" applyFont="1" applyBorder="1" applyAlignment="1">
      <alignment wrapText="1"/>
    </xf>
    <xf numFmtId="2" fontId="48" fillId="0" borderId="22" xfId="0" applyNumberFormat="1" applyFont="1" applyBorder="1" applyAlignment="1">
      <alignment wrapText="1"/>
    </xf>
    <xf numFmtId="49" fontId="42" fillId="4" borderId="32" xfId="0" applyNumberFormat="1" applyFont="1" applyFill="1" applyBorder="1" applyAlignment="1">
      <alignment horizontal="center" vertical="center" wrapText="1"/>
    </xf>
    <xf numFmtId="49" fontId="42" fillId="4" borderId="20" xfId="0" applyNumberFormat="1" applyFont="1" applyFill="1" applyBorder="1" applyAlignment="1">
      <alignment horizontal="center" vertical="center" wrapText="1"/>
    </xf>
    <xf numFmtId="0" fontId="13" fillId="0" borderId="21" xfId="0" applyFont="1" applyBorder="1" applyAlignment="1">
      <alignment horizontal="center" vertical="center"/>
    </xf>
    <xf numFmtId="0" fontId="13" fillId="0" borderId="30" xfId="0" applyFont="1" applyBorder="1" applyAlignment="1">
      <alignment horizontal="center" vertical="center"/>
    </xf>
    <xf numFmtId="0" fontId="13" fillId="0" borderId="26" xfId="0" applyFont="1" applyBorder="1" applyAlignment="1">
      <alignment horizontal="center" vertical="center"/>
    </xf>
    <xf numFmtId="0" fontId="16" fillId="4" borderId="10" xfId="0" applyFont="1" applyFill="1" applyBorder="1"/>
    <xf numFmtId="164" fontId="15" fillId="0" borderId="10" xfId="0" applyNumberFormat="1" applyFont="1" applyBorder="1"/>
    <xf numFmtId="165" fontId="3" fillId="0" borderId="1" xfId="1" applyNumberFormat="1" applyFont="1" applyFill="1" applyBorder="1" applyAlignment="1">
      <alignment horizontal="center" vertical="center" wrapText="1"/>
    </xf>
    <xf numFmtId="0" fontId="34" fillId="0" borderId="0" xfId="0" applyFont="1"/>
    <xf numFmtId="0" fontId="58" fillId="2" borderId="1" xfId="0" applyFont="1" applyFill="1" applyBorder="1" applyAlignment="1">
      <alignment horizontal="center" vertical="center" wrapText="1"/>
    </xf>
    <xf numFmtId="0" fontId="58" fillId="2" borderId="2" xfId="0" applyFont="1" applyFill="1" applyBorder="1" applyAlignment="1">
      <alignment horizontal="center" vertical="center" wrapText="1"/>
    </xf>
    <xf numFmtId="0" fontId="58" fillId="0" borderId="1" xfId="0" applyFont="1" applyBorder="1" applyAlignment="1">
      <alignment horizontal="left" wrapText="1"/>
    </xf>
    <xf numFmtId="0" fontId="34" fillId="0" borderId="1" xfId="0" applyFont="1" applyBorder="1" applyAlignment="1">
      <alignment horizontal="center" vertical="center"/>
    </xf>
    <xf numFmtId="0" fontId="34" fillId="4" borderId="1" xfId="0" applyFont="1" applyFill="1" applyBorder="1" applyAlignment="1">
      <alignment horizontal="center" vertical="center" wrapText="1"/>
    </xf>
    <xf numFmtId="0" fontId="36" fillId="4" borderId="1" xfId="0" applyFont="1" applyFill="1" applyBorder="1" applyAlignment="1">
      <alignment horizontal="center" vertical="center" wrapText="1"/>
    </xf>
    <xf numFmtId="2" fontId="58" fillId="3" borderId="1" xfId="0" applyNumberFormat="1" applyFont="1" applyFill="1" applyBorder="1" applyAlignment="1">
      <alignment horizontal="center" vertical="center"/>
    </xf>
    <xf numFmtId="2" fontId="58" fillId="3" borderId="2" xfId="0" applyNumberFormat="1" applyFont="1" applyFill="1" applyBorder="1" applyAlignment="1">
      <alignment horizontal="center" vertical="center"/>
    </xf>
    <xf numFmtId="0" fontId="58" fillId="0" borderId="2" xfId="0" applyFont="1" applyBorder="1" applyAlignment="1">
      <alignment horizontal="center" vertical="center"/>
    </xf>
    <xf numFmtId="0" fontId="58" fillId="2" borderId="3" xfId="0" applyFont="1" applyFill="1" applyBorder="1" applyAlignment="1">
      <alignment horizontal="center" vertical="center" wrapText="1"/>
    </xf>
    <xf numFmtId="0" fontId="34" fillId="0" borderId="1" xfId="0" applyFont="1" applyBorder="1"/>
    <xf numFmtId="43" fontId="34" fillId="0" borderId="1" xfId="1" applyFont="1" applyBorder="1"/>
    <xf numFmtId="165" fontId="34" fillId="0" borderId="1" xfId="1" applyNumberFormat="1" applyFont="1" applyBorder="1"/>
    <xf numFmtId="9" fontId="39" fillId="0" borderId="1" xfId="1" applyNumberFormat="1" applyFont="1" applyBorder="1"/>
    <xf numFmtId="165" fontId="34" fillId="0" borderId="1" xfId="0" applyNumberFormat="1" applyFont="1" applyBorder="1"/>
    <xf numFmtId="167" fontId="34" fillId="0" borderId="1" xfId="0" applyNumberFormat="1" applyFont="1" applyBorder="1"/>
    <xf numFmtId="165" fontId="34" fillId="0" borderId="0" xfId="0" applyNumberFormat="1" applyFont="1"/>
    <xf numFmtId="167" fontId="34" fillId="0" borderId="0" xfId="0" applyNumberFormat="1" applyFont="1"/>
    <xf numFmtId="169" fontId="34" fillId="0" borderId="1" xfId="0" applyNumberFormat="1" applyFont="1" applyBorder="1"/>
    <xf numFmtId="165" fontId="34" fillId="0" borderId="1" xfId="0" applyNumberFormat="1" applyFont="1" applyBorder="1" applyAlignment="1">
      <alignment horizontal="center" vertical="center"/>
    </xf>
    <xf numFmtId="0" fontId="59" fillId="0" borderId="0" xfId="0" applyFont="1"/>
    <xf numFmtId="0" fontId="0" fillId="7" borderId="0" xfId="0" applyFill="1"/>
    <xf numFmtId="1" fontId="13" fillId="0" borderId="20" xfId="0" applyNumberFormat="1" applyFont="1" applyBorder="1" applyAlignment="1">
      <alignment horizontal="center" vertical="center"/>
    </xf>
    <xf numFmtId="165" fontId="2" fillId="4" borderId="20" xfId="1" applyNumberFormat="1" applyFont="1" applyFill="1" applyBorder="1" applyAlignment="1">
      <alignment horizontal="center"/>
    </xf>
    <xf numFmtId="0" fontId="10" fillId="0" borderId="0" xfId="0" applyFont="1"/>
    <xf numFmtId="165" fontId="61" fillId="4" borderId="10" xfId="1" applyNumberFormat="1" applyFont="1" applyFill="1" applyBorder="1" applyAlignment="1">
      <alignment horizontal="center"/>
    </xf>
    <xf numFmtId="2" fontId="40" fillId="0" borderId="19" xfId="0" applyNumberFormat="1" applyFont="1" applyBorder="1" applyAlignment="1">
      <alignment horizontal="center" vertical="center"/>
    </xf>
    <xf numFmtId="0" fontId="40" fillId="0" borderId="22" xfId="0" applyFont="1" applyBorder="1" applyAlignment="1">
      <alignment horizontal="center" vertical="center"/>
    </xf>
    <xf numFmtId="0" fontId="40" fillId="0" borderId="19" xfId="0" applyFont="1" applyBorder="1" applyAlignment="1">
      <alignment horizontal="center" vertical="center"/>
    </xf>
    <xf numFmtId="165" fontId="15" fillId="0" borderId="1" xfId="1" applyNumberFormat="1" applyFont="1" applyFill="1" applyBorder="1" applyAlignment="1">
      <alignment horizontal="center" vertical="center"/>
    </xf>
    <xf numFmtId="0" fontId="40" fillId="4" borderId="0" xfId="0" applyFont="1" applyFill="1"/>
    <xf numFmtId="0" fontId="40" fillId="4" borderId="9" xfId="0" applyFont="1" applyFill="1" applyBorder="1" applyAlignment="1">
      <alignment horizontal="center" vertical="center" wrapText="1"/>
    </xf>
    <xf numFmtId="0" fontId="40" fillId="0" borderId="10" xfId="0" applyFont="1" applyBorder="1"/>
    <xf numFmtId="0" fontId="42" fillId="0" borderId="0" xfId="0" applyFont="1" applyAlignment="1">
      <alignment wrapText="1"/>
    </xf>
    <xf numFmtId="0" fontId="42" fillId="3" borderId="24" xfId="0" applyFont="1" applyFill="1" applyBorder="1" applyAlignment="1">
      <alignment horizontal="center" vertical="center" wrapText="1"/>
    </xf>
    <xf numFmtId="0" fontId="31" fillId="3" borderId="24" xfId="0" applyFont="1" applyFill="1" applyBorder="1" applyAlignment="1">
      <alignment horizontal="center" vertical="center"/>
    </xf>
    <xf numFmtId="2" fontId="61" fillId="0" borderId="24" xfId="0" applyNumberFormat="1" applyFont="1" applyBorder="1" applyAlignment="1">
      <alignment horizontal="center" vertical="center"/>
    </xf>
    <xf numFmtId="2" fontId="61" fillId="0" borderId="0" xfId="0" applyNumberFormat="1" applyFont="1" applyAlignment="1">
      <alignment horizontal="center" vertical="center"/>
    </xf>
    <xf numFmtId="2" fontId="40" fillId="0" borderId="10" xfId="0" applyNumberFormat="1" applyFont="1" applyBorder="1" applyAlignment="1">
      <alignment horizontal="center" vertical="center"/>
    </xf>
    <xf numFmtId="0" fontId="40" fillId="0" borderId="20" xfId="0" applyFont="1" applyBorder="1" applyAlignment="1">
      <alignment horizontal="center" vertical="center"/>
    </xf>
    <xf numFmtId="164" fontId="41" fillId="0" borderId="10" xfId="0" applyNumberFormat="1" applyFont="1" applyBorder="1" applyAlignment="1">
      <alignment horizontal="center" vertical="center"/>
    </xf>
    <xf numFmtId="0" fontId="40" fillId="0" borderId="18" xfId="0" applyFont="1" applyBorder="1"/>
    <xf numFmtId="0" fontId="40" fillId="0" borderId="26" xfId="0" applyFont="1" applyBorder="1" applyAlignment="1">
      <alignment horizontal="center"/>
    </xf>
    <xf numFmtId="0" fontId="40" fillId="0" borderId="19" xfId="0" applyFont="1" applyBorder="1" applyAlignment="1">
      <alignment horizontal="center"/>
    </xf>
    <xf numFmtId="0" fontId="40" fillId="0" borderId="25" xfId="0" applyFont="1" applyBorder="1" applyAlignment="1">
      <alignment horizontal="center"/>
    </xf>
    <xf numFmtId="2" fontId="40" fillId="0" borderId="10" xfId="0" applyNumberFormat="1" applyFont="1" applyBorder="1" applyAlignment="1">
      <alignment horizontal="center"/>
    </xf>
    <xf numFmtId="0" fontId="40" fillId="0" borderId="18" xfId="0" applyFont="1" applyBorder="1" applyAlignment="1">
      <alignment horizontal="center"/>
    </xf>
    <xf numFmtId="0" fontId="40" fillId="0" borderId="21" xfId="0" applyFont="1" applyBorder="1"/>
    <xf numFmtId="0" fontId="40" fillId="0" borderId="10" xfId="0" applyFont="1" applyBorder="1" applyAlignment="1">
      <alignment horizontal="center"/>
    </xf>
    <xf numFmtId="2" fontId="61" fillId="0" borderId="10" xfId="0" applyNumberFormat="1" applyFont="1" applyBorder="1" applyAlignment="1">
      <alignment horizontal="center" vertical="center"/>
    </xf>
    <xf numFmtId="2" fontId="41" fillId="0" borderId="27" xfId="0" applyNumberFormat="1" applyFont="1" applyBorder="1" applyAlignment="1">
      <alignment horizontal="center"/>
    </xf>
    <xf numFmtId="0" fontId="40" fillId="0" borderId="26" xfId="0" applyFont="1" applyBorder="1"/>
    <xf numFmtId="0" fontId="40" fillId="0" borderId="19" xfId="0" applyFont="1" applyBorder="1"/>
    <xf numFmtId="2" fontId="40" fillId="0" borderId="19" xfId="0" applyNumberFormat="1" applyFont="1" applyBorder="1" applyAlignment="1">
      <alignment horizontal="center"/>
    </xf>
    <xf numFmtId="2" fontId="40" fillId="0" borderId="18" xfId="0" applyNumberFormat="1" applyFont="1" applyBorder="1" applyAlignment="1">
      <alignment horizontal="center"/>
    </xf>
    <xf numFmtId="0" fontId="40" fillId="0" borderId="10" xfId="0" applyFont="1" applyBorder="1" applyAlignment="1">
      <alignment horizontal="center" vertical="center"/>
    </xf>
    <xf numFmtId="2" fontId="41" fillId="0" borderId="10" xfId="0" applyNumberFormat="1" applyFont="1" applyBorder="1" applyAlignment="1">
      <alignment horizontal="center" vertical="center"/>
    </xf>
    <xf numFmtId="2" fontId="41" fillId="0" borderId="19" xfId="0" applyNumberFormat="1" applyFont="1" applyBorder="1" applyAlignment="1">
      <alignment horizontal="center" vertical="center"/>
    </xf>
    <xf numFmtId="2" fontId="41" fillId="0" borderId="20" xfId="0" applyNumberFormat="1" applyFont="1" applyBorder="1" applyAlignment="1">
      <alignment horizontal="center" vertical="center"/>
    </xf>
    <xf numFmtId="0" fontId="40" fillId="0" borderId="30" xfId="0" applyFont="1" applyBorder="1"/>
    <xf numFmtId="2" fontId="41" fillId="0" borderId="22" xfId="0" applyNumberFormat="1" applyFont="1" applyBorder="1" applyAlignment="1">
      <alignment horizontal="center" vertical="center"/>
    </xf>
    <xf numFmtId="2" fontId="41" fillId="0" borderId="28" xfId="0" applyNumberFormat="1" applyFont="1" applyBorder="1" applyAlignment="1">
      <alignment horizontal="center" vertical="center"/>
    </xf>
    <xf numFmtId="0" fontId="40" fillId="0" borderId="25" xfId="0" applyFont="1" applyBorder="1" applyAlignment="1">
      <alignment horizontal="center" vertical="center"/>
    </xf>
    <xf numFmtId="0" fontId="40" fillId="0" borderId="27" xfId="0" applyFont="1" applyBorder="1"/>
    <xf numFmtId="0" fontId="41" fillId="0" borderId="19" xfId="0" applyFont="1" applyBorder="1" applyAlignment="1">
      <alignment horizontal="center" vertical="center"/>
    </xf>
    <xf numFmtId="2" fontId="41" fillId="0" borderId="25" xfId="0" applyNumberFormat="1" applyFont="1" applyBorder="1" applyAlignment="1">
      <alignment horizontal="center" vertical="center"/>
    </xf>
    <xf numFmtId="164" fontId="41" fillId="0" borderId="19" xfId="0" applyNumberFormat="1" applyFont="1" applyBorder="1" applyAlignment="1">
      <alignment horizontal="center" vertical="center"/>
    </xf>
    <xf numFmtId="164" fontId="41" fillId="0" borderId="22" xfId="0" applyNumberFormat="1" applyFont="1" applyBorder="1" applyAlignment="1">
      <alignment horizontal="center" vertical="center"/>
    </xf>
    <xf numFmtId="0" fontId="40" fillId="0" borderId="36" xfId="0" applyFont="1" applyBorder="1" applyAlignment="1">
      <alignment vertical="center" wrapText="1"/>
    </xf>
    <xf numFmtId="0" fontId="40" fillId="0" borderId="26" xfId="0" applyFont="1" applyBorder="1" applyAlignment="1">
      <alignment horizontal="left" vertical="center"/>
    </xf>
    <xf numFmtId="0" fontId="40" fillId="0" borderId="26" xfId="0" applyFont="1" applyBorder="1" applyAlignment="1">
      <alignment horizontal="center" vertical="center"/>
    </xf>
    <xf numFmtId="164" fontId="41" fillId="0" borderId="25" xfId="0" applyNumberFormat="1" applyFont="1" applyBorder="1" applyAlignment="1">
      <alignment horizontal="center" vertical="center"/>
    </xf>
    <xf numFmtId="0" fontId="48" fillId="0" borderId="37" xfId="0" applyFont="1" applyBorder="1" applyAlignment="1">
      <alignment vertical="center" wrapText="1"/>
    </xf>
    <xf numFmtId="0" fontId="40" fillId="0" borderId="29" xfId="0" applyFont="1" applyBorder="1" applyAlignment="1">
      <alignment vertical="center" wrapText="1"/>
    </xf>
    <xf numFmtId="0" fontId="40" fillId="0" borderId="30" xfId="0" applyFont="1" applyBorder="1" applyAlignment="1">
      <alignment vertical="center" wrapText="1"/>
    </xf>
    <xf numFmtId="0" fontId="40" fillId="0" borderId="0" xfId="0" applyFont="1" applyAlignment="1">
      <alignment vertical="center" wrapText="1"/>
    </xf>
    <xf numFmtId="0" fontId="40" fillId="0" borderId="22" xfId="0" applyFont="1" applyBorder="1" applyAlignment="1">
      <alignment vertical="center"/>
    </xf>
    <xf numFmtId="0" fontId="40" fillId="0" borderId="28" xfId="0" applyFont="1" applyBorder="1" applyAlignment="1">
      <alignment vertical="center"/>
    </xf>
    <xf numFmtId="0" fontId="40" fillId="0" borderId="28" xfId="0" applyFont="1" applyBorder="1" applyAlignment="1">
      <alignment horizontal="center" vertical="center"/>
    </xf>
    <xf numFmtId="0" fontId="40" fillId="0" borderId="20" xfId="0" applyFont="1" applyBorder="1" applyAlignment="1">
      <alignment vertical="center"/>
    </xf>
    <xf numFmtId="0" fontId="40" fillId="0" borderId="10" xfId="0" applyFont="1" applyBorder="1" applyAlignment="1">
      <alignment horizontal="left" vertical="center"/>
    </xf>
    <xf numFmtId="0" fontId="40" fillId="0" borderId="25" xfId="0" applyFont="1" applyBorder="1" applyAlignment="1">
      <alignment vertical="center"/>
    </xf>
    <xf numFmtId="0" fontId="40" fillId="0" borderId="19" xfId="0" applyFont="1" applyBorder="1" applyAlignment="1">
      <alignment vertical="center"/>
    </xf>
    <xf numFmtId="0" fontId="16" fillId="0" borderId="0" xfId="3" applyFont="1" applyAlignment="1">
      <alignment horizontal="left" vertical="center"/>
    </xf>
    <xf numFmtId="0" fontId="3" fillId="4" borderId="4" xfId="0" applyFont="1" applyFill="1" applyBorder="1" applyAlignment="1">
      <alignment wrapText="1"/>
    </xf>
    <xf numFmtId="0" fontId="15" fillId="0" borderId="0" xfId="2" applyFont="1"/>
    <xf numFmtId="0" fontId="13" fillId="0" borderId="0" xfId="2" applyFont="1"/>
    <xf numFmtId="0" fontId="15" fillId="0" borderId="0" xfId="2" applyFont="1" applyAlignment="1">
      <alignment horizontal="left" vertical="top" wrapText="1"/>
    </xf>
    <xf numFmtId="2" fontId="14" fillId="0" borderId="1" xfId="4" applyNumberFormat="1" applyFont="1" applyBorder="1" applyAlignment="1" applyProtection="1">
      <alignment horizontal="center" wrapText="1"/>
      <protection locked="0"/>
    </xf>
    <xf numFmtId="166" fontId="13" fillId="0" borderId="1" xfId="4" applyNumberFormat="1" applyFont="1" applyBorder="1" applyAlignment="1" applyProtection="1">
      <alignment horizontal="center" wrapText="1"/>
      <protection locked="0"/>
    </xf>
    <xf numFmtId="49" fontId="13" fillId="4" borderId="1" xfId="2" applyNumberFormat="1" applyFont="1" applyFill="1" applyBorder="1" applyAlignment="1">
      <alignment horizontal="center" vertical="center"/>
    </xf>
    <xf numFmtId="0" fontId="15" fillId="4" borderId="1" xfId="2" applyFont="1" applyFill="1" applyBorder="1" applyAlignment="1">
      <alignment horizontal="left" vertical="center" wrapText="1"/>
    </xf>
    <xf numFmtId="167" fontId="15" fillId="0" borderId="0" xfId="3" applyNumberFormat="1" applyFont="1"/>
    <xf numFmtId="0" fontId="10" fillId="0" borderId="0" xfId="2" applyFont="1" applyAlignment="1">
      <alignment vertical="center"/>
    </xf>
    <xf numFmtId="0" fontId="10" fillId="0" borderId="0" xfId="2" applyFont="1" applyAlignment="1">
      <alignment vertical="center" wrapText="1"/>
    </xf>
    <xf numFmtId="0" fontId="13" fillId="0" borderId="0" xfId="2" applyFont="1" applyAlignment="1">
      <alignment horizontal="center" vertical="center" wrapText="1"/>
    </xf>
    <xf numFmtId="0" fontId="14" fillId="0" borderId="0" xfId="2" applyFont="1" applyAlignment="1">
      <alignment horizontal="center" vertical="center" wrapText="1"/>
    </xf>
    <xf numFmtId="43" fontId="3" fillId="0" borderId="13" xfId="1" applyFont="1" applyBorder="1" applyAlignment="1">
      <alignment wrapText="1"/>
    </xf>
    <xf numFmtId="43" fontId="13" fillId="0" borderId="0" xfId="1" applyFont="1" applyAlignment="1">
      <alignment horizontal="center" vertical="center" wrapText="1"/>
    </xf>
    <xf numFmtId="43" fontId="13" fillId="0" borderId="0" xfId="1" applyFont="1" applyAlignment="1">
      <alignment horizontal="center" wrapText="1"/>
    </xf>
    <xf numFmtId="43" fontId="15" fillId="8" borderId="0" xfId="3" applyNumberFormat="1" applyFont="1" applyFill="1" applyAlignment="1">
      <alignment horizontal="right"/>
    </xf>
    <xf numFmtId="0" fontId="15" fillId="0" borderId="0" xfId="3" applyFont="1" applyAlignment="1">
      <alignment horizontal="center" vertical="center" wrapText="1"/>
    </xf>
    <xf numFmtId="43" fontId="15" fillId="0" borderId="0" xfId="3" applyNumberFormat="1" applyFont="1" applyAlignment="1">
      <alignment horizontal="right"/>
    </xf>
    <xf numFmtId="0" fontId="3" fillId="0" borderId="0" xfId="3" applyFont="1"/>
    <xf numFmtId="2" fontId="14" fillId="4" borderId="35" xfId="3" applyNumberFormat="1" applyFont="1" applyFill="1" applyBorder="1" applyAlignment="1">
      <alignment horizontal="center" vertical="center"/>
    </xf>
    <xf numFmtId="43" fontId="15" fillId="8" borderId="0" xfId="3" applyNumberFormat="1" applyFont="1" applyFill="1"/>
    <xf numFmtId="0" fontId="13" fillId="3" borderId="17" xfId="3" applyFont="1" applyFill="1" applyBorder="1" applyAlignment="1" applyProtection="1">
      <alignment horizontal="center" vertical="center" wrapText="1"/>
      <protection locked="0"/>
    </xf>
    <xf numFmtId="2" fontId="13" fillId="3" borderId="16" xfId="3" applyNumberFormat="1" applyFont="1" applyFill="1" applyBorder="1" applyAlignment="1" applyProtection="1">
      <alignment horizontal="center" vertical="center" wrapText="1"/>
      <protection locked="0"/>
    </xf>
    <xf numFmtId="0" fontId="3" fillId="11" borderId="14" xfId="3" applyFont="1" applyFill="1" applyBorder="1" applyAlignment="1">
      <alignment horizontal="center" vertical="center" wrapText="1"/>
    </xf>
    <xf numFmtId="0" fontId="13" fillId="3" borderId="1" xfId="3" applyFont="1" applyFill="1" applyBorder="1" applyAlignment="1" applyProtection="1">
      <alignment horizontal="center" vertical="center" wrapText="1"/>
      <protection locked="0"/>
    </xf>
    <xf numFmtId="0" fontId="3" fillId="4" borderId="24" xfId="0" applyFont="1" applyFill="1" applyBorder="1" applyAlignment="1">
      <alignment horizontal="center" vertical="center" wrapText="1"/>
    </xf>
    <xf numFmtId="165" fontId="3" fillId="3" borderId="0" xfId="1" applyNumberFormat="1" applyFont="1" applyFill="1" applyBorder="1" applyAlignment="1">
      <alignment horizontal="center" vertical="center"/>
    </xf>
    <xf numFmtId="0" fontId="31" fillId="3" borderId="0" xfId="0" applyFont="1" applyFill="1"/>
    <xf numFmtId="0" fontId="31" fillId="3" borderId="1" xfId="0" applyFont="1" applyFill="1" applyBorder="1" applyAlignment="1">
      <alignment horizontal="center" wrapText="1"/>
    </xf>
    <xf numFmtId="0" fontId="31" fillId="3" borderId="2" xfId="0" applyFont="1" applyFill="1" applyBorder="1" applyAlignment="1">
      <alignment horizontal="center" wrapText="1"/>
    </xf>
    <xf numFmtId="0" fontId="31" fillId="3" borderId="0" xfId="0" applyFont="1" applyFill="1" applyAlignment="1">
      <alignment wrapText="1"/>
    </xf>
    <xf numFmtId="0" fontId="31" fillId="3" borderId="1" xfId="0" applyFont="1" applyFill="1" applyBorder="1" applyAlignment="1">
      <alignment wrapText="1"/>
    </xf>
    <xf numFmtId="0" fontId="56" fillId="0" borderId="4" xfId="0" applyFont="1" applyBorder="1" applyAlignment="1">
      <alignment horizontal="center" wrapText="1"/>
    </xf>
    <xf numFmtId="0" fontId="56" fillId="0" borderId="13" xfId="0" applyFont="1" applyBorder="1" applyAlignment="1">
      <alignment horizontal="center" wrapText="1"/>
    </xf>
    <xf numFmtId="0" fontId="31" fillId="3" borderId="13" xfId="0" applyFont="1" applyFill="1" applyBorder="1" applyAlignment="1">
      <alignment horizontal="center" wrapText="1"/>
    </xf>
    <xf numFmtId="166" fontId="42" fillId="0" borderId="4" xfId="0" applyNumberFormat="1" applyFont="1" applyBorder="1" applyAlignment="1">
      <alignment horizontal="center" wrapText="1"/>
    </xf>
    <xf numFmtId="0" fontId="31" fillId="3" borderId="1" xfId="0" applyFont="1" applyFill="1" applyBorder="1" applyAlignment="1">
      <alignment horizontal="center" vertical="center" wrapText="1"/>
    </xf>
    <xf numFmtId="0" fontId="31" fillId="3" borderId="2" xfId="0" applyFont="1" applyFill="1" applyBorder="1" applyAlignment="1">
      <alignment horizontal="center" vertical="center" wrapText="1"/>
    </xf>
    <xf numFmtId="43" fontId="3" fillId="0" borderId="13" xfId="1" applyFont="1" applyBorder="1" applyAlignment="1">
      <alignment vertical="center" wrapText="1"/>
    </xf>
    <xf numFmtId="0" fontId="3" fillId="3" borderId="10" xfId="0" applyFont="1" applyFill="1" applyBorder="1" applyAlignment="1">
      <alignment horizontal="center" vertical="center" wrapText="1"/>
    </xf>
    <xf numFmtId="2" fontId="3" fillId="3" borderId="10" xfId="0" applyNumberFormat="1" applyFont="1" applyFill="1" applyBorder="1" applyAlignment="1">
      <alignment horizontal="center" vertical="center" wrapText="1"/>
    </xf>
    <xf numFmtId="2" fontId="2" fillId="6" borderId="10" xfId="0" applyNumberFormat="1" applyFont="1" applyFill="1" applyBorder="1" applyAlignment="1">
      <alignment horizontal="center" vertical="center"/>
    </xf>
    <xf numFmtId="0" fontId="48" fillId="0" borderId="0" xfId="0" applyFont="1"/>
    <xf numFmtId="0" fontId="27" fillId="4" borderId="19" xfId="0" applyFont="1" applyFill="1" applyBorder="1" applyAlignment="1">
      <alignment horizontal="center" vertical="center" wrapText="1"/>
    </xf>
    <xf numFmtId="0" fontId="28" fillId="4" borderId="19" xfId="0" applyFont="1" applyFill="1" applyBorder="1" applyAlignment="1">
      <alignment horizontal="center" vertical="top" wrapText="1"/>
    </xf>
    <xf numFmtId="0" fontId="28" fillId="4" borderId="19" xfId="0" applyFont="1" applyFill="1" applyBorder="1" applyAlignment="1">
      <alignment horizontal="center" vertical="center" wrapText="1"/>
    </xf>
    <xf numFmtId="0" fontId="66" fillId="0" borderId="0" xfId="0" applyFont="1"/>
    <xf numFmtId="0" fontId="65" fillId="12" borderId="19" xfId="0" applyFont="1" applyFill="1" applyBorder="1" applyAlignment="1">
      <alignment horizontal="center" vertical="center" wrapText="1"/>
    </xf>
    <xf numFmtId="0" fontId="68" fillId="0" borderId="0" xfId="0" applyFont="1"/>
    <xf numFmtId="0" fontId="68" fillId="0" borderId="0" xfId="0" applyFont="1" applyAlignment="1">
      <alignment wrapText="1"/>
    </xf>
    <xf numFmtId="0" fontId="68" fillId="0" borderId="0" xfId="0" applyFont="1" applyAlignment="1">
      <alignment horizontal="center"/>
    </xf>
    <xf numFmtId="0" fontId="0" fillId="0" borderId="0" xfId="0" applyAlignment="1">
      <alignment horizontal="center"/>
    </xf>
    <xf numFmtId="0" fontId="40" fillId="0" borderId="0" xfId="0" applyFont="1" applyAlignment="1">
      <alignment wrapText="1"/>
    </xf>
    <xf numFmtId="0" fontId="42" fillId="0" borderId="13" xfId="0" applyFont="1" applyBorder="1" applyAlignment="1">
      <alignment wrapText="1"/>
    </xf>
    <xf numFmtId="0" fontId="40" fillId="0" borderId="0" xfId="0" applyFont="1" applyAlignment="1">
      <alignment horizontal="center"/>
    </xf>
    <xf numFmtId="3" fontId="27" fillId="4" borderId="10" xfId="0" applyNumberFormat="1" applyFont="1" applyFill="1" applyBorder="1" applyAlignment="1">
      <alignment horizontal="center" vertical="center" wrapText="1"/>
    </xf>
    <xf numFmtId="3" fontId="64" fillId="4" borderId="10" xfId="0" applyNumberFormat="1" applyFont="1" applyFill="1" applyBorder="1" applyAlignment="1">
      <alignment horizontal="center" vertical="center" wrapText="1"/>
    </xf>
    <xf numFmtId="3" fontId="0" fillId="0" borderId="19" xfId="0" applyNumberFormat="1" applyBorder="1"/>
    <xf numFmtId="0" fontId="40" fillId="0" borderId="1" xfId="0" applyFont="1" applyBorder="1"/>
    <xf numFmtId="0" fontId="40" fillId="0" borderId="1" xfId="0" applyFont="1" applyBorder="1" applyAlignment="1">
      <alignment wrapText="1"/>
    </xf>
    <xf numFmtId="2" fontId="41" fillId="0" borderId="1" xfId="0" applyNumberFormat="1" applyFont="1" applyBorder="1" applyAlignment="1">
      <alignment horizontal="center" vertical="center"/>
    </xf>
    <xf numFmtId="0" fontId="40" fillId="0" borderId="1" xfId="0" applyFont="1" applyBorder="1" applyAlignment="1">
      <alignment horizontal="center" vertical="center"/>
    </xf>
    <xf numFmtId="2" fontId="40" fillId="0" borderId="1" xfId="0" applyNumberFormat="1" applyFont="1" applyBorder="1" applyAlignment="1">
      <alignment horizontal="center" vertical="center"/>
    </xf>
    <xf numFmtId="3" fontId="21" fillId="0" borderId="19" xfId="0" applyNumberFormat="1" applyFont="1" applyBorder="1"/>
    <xf numFmtId="0" fontId="15" fillId="8" borderId="0" xfId="3" applyFont="1" applyFill="1"/>
    <xf numFmtId="0" fontId="15" fillId="8" borderId="1" xfId="3" applyFont="1" applyFill="1" applyBorder="1" applyAlignment="1">
      <alignment horizontal="center" vertical="center" wrapText="1"/>
    </xf>
    <xf numFmtId="0" fontId="15" fillId="8" borderId="0" xfId="3" applyFont="1" applyFill="1" applyAlignment="1">
      <alignment vertical="center" wrapText="1"/>
    </xf>
    <xf numFmtId="0" fontId="15" fillId="8" borderId="0" xfId="3" applyFont="1" applyFill="1" applyAlignment="1">
      <alignment horizontal="right"/>
    </xf>
    <xf numFmtId="43" fontId="3" fillId="3" borderId="1" xfId="1" applyFont="1" applyFill="1" applyBorder="1" applyAlignment="1">
      <alignment horizontal="center" vertical="center"/>
    </xf>
    <xf numFmtId="1" fontId="3" fillId="0" borderId="1" xfId="0" applyNumberFormat="1" applyFont="1" applyBorder="1" applyAlignment="1">
      <alignment horizontal="center" vertical="center"/>
    </xf>
    <xf numFmtId="0" fontId="15" fillId="0" borderId="31" xfId="0" applyFont="1" applyBorder="1" applyAlignment="1">
      <alignment horizontal="center" vertical="center"/>
    </xf>
    <xf numFmtId="0" fontId="13" fillId="2" borderId="1" xfId="0" applyFont="1" applyFill="1" applyBorder="1" applyAlignment="1">
      <alignment horizontal="left" vertical="center" wrapText="1"/>
    </xf>
    <xf numFmtId="0" fontId="19" fillId="0" borderId="0" xfId="0" applyFont="1" applyAlignment="1">
      <alignment vertical="center" wrapText="1"/>
    </xf>
    <xf numFmtId="0" fontId="5" fillId="2" borderId="39" xfId="0" applyFont="1" applyFill="1" applyBorder="1" applyAlignment="1">
      <alignment horizontal="center" vertical="center" wrapText="1"/>
    </xf>
    <xf numFmtId="1" fontId="5" fillId="0" borderId="20" xfId="0" applyNumberFormat="1" applyFont="1" applyBorder="1" applyAlignment="1">
      <alignment horizontal="center" vertical="center"/>
    </xf>
    <xf numFmtId="43" fontId="19" fillId="0" borderId="10" xfId="1" applyFont="1" applyBorder="1" applyAlignment="1">
      <alignment horizontal="center" vertical="center"/>
    </xf>
    <xf numFmtId="0" fontId="3" fillId="0" borderId="20" xfId="0" applyFont="1" applyBorder="1" applyAlignment="1">
      <alignment horizontal="left" vertical="center" wrapText="1"/>
    </xf>
    <xf numFmtId="3" fontId="58" fillId="0" borderId="2" xfId="0" applyNumberFormat="1" applyFont="1" applyBorder="1" applyAlignment="1">
      <alignment horizontal="center" vertical="center"/>
    </xf>
    <xf numFmtId="0" fontId="76" fillId="0" borderId="0" xfId="0" applyFont="1"/>
    <xf numFmtId="0" fontId="34" fillId="0" borderId="1" xfId="0" applyFont="1" applyBorder="1" applyAlignment="1">
      <alignment horizontal="center" vertical="center" wrapText="1"/>
    </xf>
    <xf numFmtId="0" fontId="79" fillId="8" borderId="0" xfId="0" applyFont="1" applyFill="1" applyAlignment="1">
      <alignment wrapText="1"/>
    </xf>
    <xf numFmtId="0" fontId="42" fillId="3" borderId="0" xfId="0" applyFont="1" applyFill="1" applyAlignment="1">
      <alignment horizontal="center" vertical="center" wrapText="1"/>
    </xf>
    <xf numFmtId="0" fontId="40" fillId="0" borderId="20" xfId="0" applyFont="1" applyBorder="1" applyAlignment="1">
      <alignment horizontal="center"/>
    </xf>
    <xf numFmtId="0" fontId="40" fillId="0" borderId="21" xfId="0" applyFont="1" applyBorder="1" applyAlignment="1">
      <alignment horizontal="center" vertical="center"/>
    </xf>
    <xf numFmtId="2" fontId="40" fillId="0" borderId="26" xfId="0" applyNumberFormat="1" applyFont="1" applyBorder="1" applyAlignment="1">
      <alignment horizontal="center" vertical="center"/>
    </xf>
    <xf numFmtId="0" fontId="40" fillId="4" borderId="24" xfId="0" applyFont="1" applyFill="1" applyBorder="1" applyAlignment="1">
      <alignment horizontal="center" vertical="center" wrapText="1"/>
    </xf>
    <xf numFmtId="2" fontId="42" fillId="3" borderId="1" xfId="0" applyNumberFormat="1" applyFont="1" applyFill="1" applyBorder="1" applyAlignment="1">
      <alignment horizontal="center" vertical="center" wrapText="1"/>
    </xf>
    <xf numFmtId="0" fontId="40" fillId="0" borderId="21" xfId="0" applyFont="1" applyBorder="1" applyAlignment="1">
      <alignment horizontal="center"/>
    </xf>
    <xf numFmtId="0" fontId="40" fillId="0" borderId="30" xfId="0" applyFont="1" applyBorder="1" applyAlignment="1">
      <alignment horizontal="center" vertical="center"/>
    </xf>
    <xf numFmtId="0" fontId="40" fillId="0" borderId="18" xfId="0" applyFont="1" applyBorder="1" applyAlignment="1">
      <alignment horizontal="center" vertical="center"/>
    </xf>
    <xf numFmtId="0" fontId="40" fillId="0" borderId="27" xfId="0" applyFont="1" applyBorder="1" applyAlignment="1">
      <alignment horizontal="center"/>
    </xf>
    <xf numFmtId="0" fontId="40" fillId="0" borderId="27" xfId="0" applyFont="1" applyBorder="1" applyAlignment="1">
      <alignment horizontal="center" vertical="center"/>
    </xf>
    <xf numFmtId="0" fontId="40" fillId="0" borderId="29" xfId="0" applyFont="1" applyBorder="1" applyAlignment="1">
      <alignment horizontal="center" vertical="center"/>
    </xf>
    <xf numFmtId="2" fontId="40" fillId="0" borderId="25" xfId="0" applyNumberFormat="1" applyFont="1" applyBorder="1" applyAlignment="1">
      <alignment horizontal="center" vertical="center"/>
    </xf>
    <xf numFmtId="2" fontId="40" fillId="0" borderId="27" xfId="0" applyNumberFormat="1" applyFont="1" applyBorder="1" applyAlignment="1">
      <alignment horizontal="center"/>
    </xf>
    <xf numFmtId="2" fontId="41" fillId="0" borderId="21" xfId="0" applyNumberFormat="1" applyFont="1" applyBorder="1" applyAlignment="1">
      <alignment horizontal="center" vertical="center"/>
    </xf>
    <xf numFmtId="2" fontId="41" fillId="0" borderId="30" xfId="0" applyNumberFormat="1" applyFont="1" applyBorder="1" applyAlignment="1">
      <alignment horizontal="center" vertical="center"/>
    </xf>
    <xf numFmtId="2" fontId="41" fillId="0" borderId="26" xfId="0" applyNumberFormat="1" applyFont="1" applyBorder="1" applyAlignment="1">
      <alignment horizontal="center" vertical="center"/>
    </xf>
    <xf numFmtId="0" fontId="78" fillId="0" borderId="0" xfId="0" applyFont="1" applyAlignment="1">
      <alignment vertical="center" wrapText="1"/>
    </xf>
    <xf numFmtId="169" fontId="15" fillId="0" borderId="1" xfId="0" applyNumberFormat="1" applyFont="1" applyBorder="1"/>
    <xf numFmtId="0" fontId="3" fillId="2" borderId="11" xfId="0" applyFont="1" applyFill="1" applyBorder="1" applyAlignment="1">
      <alignment horizontal="center" vertical="center" wrapText="1"/>
    </xf>
    <xf numFmtId="1" fontId="13" fillId="0" borderId="46" xfId="0" applyNumberFormat="1" applyFont="1" applyBorder="1" applyAlignment="1">
      <alignment horizontal="center" vertical="center"/>
    </xf>
    <xf numFmtId="0" fontId="1" fillId="0" borderId="0" xfId="0" applyFont="1" applyAlignment="1">
      <alignment vertical="center"/>
    </xf>
    <xf numFmtId="0" fontId="0" fillId="0" borderId="0" xfId="0" applyAlignment="1">
      <alignment vertical="center"/>
    </xf>
    <xf numFmtId="0" fontId="31" fillId="0" borderId="10" xfId="0" applyFont="1" applyBorder="1" applyAlignment="1">
      <alignment vertical="center" wrapText="1"/>
    </xf>
    <xf numFmtId="0" fontId="42" fillId="0" borderId="32" xfId="0" applyFont="1" applyBorder="1" applyAlignment="1">
      <alignment vertical="center" wrapText="1"/>
    </xf>
    <xf numFmtId="0" fontId="42" fillId="0" borderId="20" xfId="0" applyFont="1" applyBorder="1" applyAlignment="1">
      <alignment horizontal="left" vertical="center" wrapText="1"/>
    </xf>
    <xf numFmtId="0" fontId="31" fillId="0" borderId="30" xfId="0" applyFont="1" applyBorder="1" applyAlignment="1">
      <alignment vertical="center" wrapText="1"/>
    </xf>
    <xf numFmtId="2" fontId="42" fillId="0" borderId="30" xfId="0" applyNumberFormat="1" applyFont="1" applyBorder="1" applyAlignment="1">
      <alignment horizontal="center" vertical="center"/>
    </xf>
    <xf numFmtId="0" fontId="42" fillId="0" borderId="1" xfId="0" applyFont="1" applyBorder="1" applyAlignment="1">
      <alignment horizontal="left" vertical="center" wrapText="1"/>
    </xf>
    <xf numFmtId="0" fontId="1" fillId="0" borderId="0" xfId="0" applyFont="1" applyAlignment="1">
      <alignment horizontal="center"/>
    </xf>
    <xf numFmtId="0" fontId="6" fillId="0" borderId="0" xfId="0" applyFont="1" applyAlignment="1">
      <alignment horizontal="center" wrapText="1"/>
    </xf>
    <xf numFmtId="0" fontId="7" fillId="0" borderId="0" xfId="0" applyFont="1" applyAlignment="1">
      <alignment horizontal="center"/>
    </xf>
    <xf numFmtId="2" fontId="42" fillId="3" borderId="3" xfId="0" applyNumberFormat="1" applyFont="1" applyFill="1" applyBorder="1" applyAlignment="1">
      <alignment horizontal="center" vertical="center" wrapText="1"/>
    </xf>
    <xf numFmtId="164" fontId="40" fillId="0" borderId="19" xfId="0" applyNumberFormat="1" applyFont="1" applyBorder="1" applyAlignment="1">
      <alignment horizontal="right"/>
    </xf>
    <xf numFmtId="164" fontId="40" fillId="0" borderId="1" xfId="0" applyNumberFormat="1" applyFont="1" applyBorder="1"/>
    <xf numFmtId="0" fontId="46" fillId="0" borderId="0" xfId="0" applyFont="1"/>
    <xf numFmtId="0" fontId="80" fillId="0" borderId="0" xfId="0" applyFont="1"/>
    <xf numFmtId="0" fontId="37" fillId="4" borderId="1" xfId="3" applyFont="1" applyFill="1" applyBorder="1" applyAlignment="1">
      <alignment horizontal="center" vertical="center" wrapText="1"/>
    </xf>
    <xf numFmtId="3" fontId="33" fillId="8" borderId="1" xfId="3" applyNumberFormat="1" applyFont="1" applyFill="1" applyBorder="1" applyAlignment="1">
      <alignment vertical="center"/>
    </xf>
    <xf numFmtId="0" fontId="33" fillId="0" borderId="1" xfId="0" applyFont="1" applyBorder="1"/>
    <xf numFmtId="3" fontId="33" fillId="0" borderId="1" xfId="0" applyNumberFormat="1" applyFont="1" applyBorder="1" applyAlignment="1">
      <alignment horizontal="center" vertical="center"/>
    </xf>
    <xf numFmtId="4" fontId="33" fillId="0" borderId="1" xfId="0" applyNumberFormat="1" applyFont="1" applyBorder="1"/>
    <xf numFmtId="0" fontId="33" fillId="0" borderId="3" xfId="0" applyFont="1" applyBorder="1"/>
    <xf numFmtId="3" fontId="33" fillId="0" borderId="3" xfId="0" applyNumberFormat="1" applyFont="1" applyBorder="1" applyAlignment="1">
      <alignment horizontal="center" vertical="center"/>
    </xf>
    <xf numFmtId="4" fontId="33" fillId="0" borderId="3" xfId="0" applyNumberFormat="1" applyFont="1" applyBorder="1"/>
    <xf numFmtId="0" fontId="37" fillId="0" borderId="39" xfId="0" applyFont="1" applyBorder="1"/>
    <xf numFmtId="4" fontId="37" fillId="0" borderId="1" xfId="0" applyNumberFormat="1" applyFont="1" applyBorder="1"/>
    <xf numFmtId="4" fontId="46" fillId="0" borderId="1" xfId="0" applyNumberFormat="1" applyFont="1" applyBorder="1"/>
    <xf numFmtId="0" fontId="46" fillId="0" borderId="41" xfId="0" applyFont="1" applyBorder="1"/>
    <xf numFmtId="0" fontId="37" fillId="0" borderId="39" xfId="0" applyFont="1" applyBorder="1" applyAlignment="1">
      <alignment horizontal="center"/>
    </xf>
    <xf numFmtId="4" fontId="37" fillId="0" borderId="39" xfId="0" applyNumberFormat="1" applyFont="1" applyBorder="1"/>
    <xf numFmtId="4" fontId="37" fillId="0" borderId="1" xfId="0" applyNumberFormat="1" applyFont="1" applyBorder="1" applyAlignment="1">
      <alignment horizontal="right"/>
    </xf>
    <xf numFmtId="0" fontId="37" fillId="0" borderId="0" xfId="0" applyFont="1" applyAlignment="1">
      <alignment horizontal="right"/>
    </xf>
    <xf numFmtId="0" fontId="37" fillId="0" borderId="39" xfId="0" applyFont="1" applyBorder="1" applyAlignment="1">
      <alignment horizontal="right"/>
    </xf>
    <xf numFmtId="4" fontId="37" fillId="0" borderId="39" xfId="0" applyNumberFormat="1" applyFont="1" applyBorder="1" applyAlignment="1">
      <alignment horizontal="right"/>
    </xf>
    <xf numFmtId="0" fontId="37" fillId="0" borderId="41" xfId="0" applyFont="1" applyBorder="1"/>
    <xf numFmtId="3" fontId="37" fillId="0" borderId="1" xfId="0" applyNumberFormat="1" applyFont="1" applyBorder="1"/>
    <xf numFmtId="3" fontId="37" fillId="0" borderId="1" xfId="0" applyNumberFormat="1" applyFont="1" applyBorder="1" applyAlignment="1">
      <alignment horizontal="center"/>
    </xf>
    <xf numFmtId="3" fontId="37" fillId="0" borderId="1" xfId="0" applyNumberFormat="1" applyFont="1" applyBorder="1" applyAlignment="1">
      <alignment horizontal="right"/>
    </xf>
    <xf numFmtId="4" fontId="37" fillId="0" borderId="0" xfId="0" applyNumberFormat="1" applyFont="1" applyAlignment="1">
      <alignment horizontal="right"/>
    </xf>
    <xf numFmtId="4" fontId="33" fillId="0" borderId="0" xfId="0" applyNumberFormat="1" applyFont="1"/>
    <xf numFmtId="0" fontId="37" fillId="0" borderId="32" xfId="0" applyFont="1" applyBorder="1"/>
    <xf numFmtId="0" fontId="37" fillId="0" borderId="12" xfId="0" applyFont="1" applyBorder="1"/>
    <xf numFmtId="0" fontId="68" fillId="8" borderId="0" xfId="0" applyFont="1" applyFill="1"/>
    <xf numFmtId="3" fontId="33" fillId="0" borderId="1" xfId="3" applyNumberFormat="1" applyFont="1" applyBorder="1" applyAlignment="1">
      <alignment vertical="center"/>
    </xf>
    <xf numFmtId="168" fontId="3" fillId="3" borderId="1" xfId="0" applyNumberFormat="1" applyFont="1" applyFill="1" applyBorder="1" applyAlignment="1">
      <alignment horizontal="center" vertical="center"/>
    </xf>
    <xf numFmtId="2" fontId="42" fillId="0" borderId="1" xfId="0" applyNumberFormat="1" applyFont="1" applyBorder="1" applyAlignment="1">
      <alignment horizontal="center" vertical="center" wrapText="1"/>
    </xf>
    <xf numFmtId="2" fontId="40" fillId="0" borderId="1" xfId="0" applyNumberFormat="1" applyFont="1" applyBorder="1"/>
    <xf numFmtId="2" fontId="42" fillId="3" borderId="4" xfId="0" applyNumberFormat="1" applyFont="1" applyFill="1" applyBorder="1" applyAlignment="1">
      <alignment horizontal="center" vertical="center" wrapText="1"/>
    </xf>
    <xf numFmtId="0" fontId="40" fillId="0" borderId="1" xfId="0" applyFont="1" applyBorder="1" applyAlignment="1">
      <alignment vertical="center"/>
    </xf>
    <xf numFmtId="0" fontId="40" fillId="0" borderId="1" xfId="0" applyFont="1" applyBorder="1" applyAlignment="1">
      <alignment horizontal="left" vertical="center"/>
    </xf>
    <xf numFmtId="164" fontId="41" fillId="0" borderId="1" xfId="0" applyNumberFormat="1" applyFont="1" applyBorder="1" applyAlignment="1">
      <alignment horizontal="center" vertical="center"/>
    </xf>
    <xf numFmtId="2" fontId="41" fillId="0" borderId="31" xfId="0" applyNumberFormat="1" applyFont="1" applyBorder="1" applyAlignment="1">
      <alignment horizontal="center" vertical="center"/>
    </xf>
    <xf numFmtId="0" fontId="40" fillId="0" borderId="31" xfId="0" applyFont="1" applyBorder="1"/>
    <xf numFmtId="0" fontId="33" fillId="0" borderId="0" xfId="9" applyFont="1"/>
    <xf numFmtId="0" fontId="43" fillId="0" borderId="0" xfId="9" applyFont="1"/>
    <xf numFmtId="0" fontId="33" fillId="0" borderId="0" xfId="9" applyFont="1" applyAlignment="1">
      <alignment vertical="center" wrapText="1"/>
    </xf>
    <xf numFmtId="0" fontId="33" fillId="0" borderId="0" xfId="9" applyFont="1" applyAlignment="1">
      <alignment horizontal="left" vertical="center" wrapText="1"/>
    </xf>
    <xf numFmtId="0" fontId="37" fillId="0" borderId="0" xfId="9" applyFont="1"/>
    <xf numFmtId="0" fontId="33" fillId="4" borderId="1" xfId="9" applyFont="1" applyFill="1" applyBorder="1" applyAlignment="1">
      <alignment horizontal="center" vertical="center"/>
    </xf>
    <xf numFmtId="0" fontId="33" fillId="4" borderId="1" xfId="9" applyFont="1" applyFill="1" applyBorder="1" applyAlignment="1">
      <alignment horizontal="center" vertical="center" wrapText="1"/>
    </xf>
    <xf numFmtId="0" fontId="38" fillId="4" borderId="1" xfId="9" applyFont="1" applyFill="1" applyBorder="1" applyAlignment="1">
      <alignment horizontal="center" vertical="center" wrapText="1"/>
    </xf>
    <xf numFmtId="0" fontId="33" fillId="4" borderId="1" xfId="9" applyFont="1" applyFill="1" applyBorder="1" applyAlignment="1">
      <alignment vertical="center"/>
    </xf>
    <xf numFmtId="0" fontId="33" fillId="0" borderId="1" xfId="9" applyFont="1" applyBorder="1" applyAlignment="1">
      <alignment horizontal="center" vertical="center" wrapText="1"/>
    </xf>
    <xf numFmtId="0" fontId="33" fillId="0" borderId="1" xfId="9" applyFont="1" applyBorder="1" applyAlignment="1">
      <alignment horizontal="center"/>
    </xf>
    <xf numFmtId="3" fontId="38" fillId="0" borderId="1" xfId="9" applyNumberFormat="1" applyFont="1" applyBorder="1" applyAlignment="1">
      <alignment horizontal="center" vertical="center" wrapText="1"/>
    </xf>
    <xf numFmtId="0" fontId="33" fillId="4" borderId="1" xfId="9" applyFont="1" applyFill="1" applyBorder="1" applyAlignment="1">
      <alignment horizontal="left" vertical="center"/>
    </xf>
    <xf numFmtId="49" fontId="44" fillId="4" borderId="1" xfId="4" applyNumberFormat="1" applyFont="1" applyFill="1" applyBorder="1" applyAlignment="1">
      <alignment horizontal="center" vertical="center" wrapText="1"/>
    </xf>
    <xf numFmtId="0" fontId="74" fillId="4" borderId="1" xfId="9" applyFont="1" applyFill="1" applyBorder="1" applyAlignment="1">
      <alignment horizontal="center" vertical="center"/>
    </xf>
    <xf numFmtId="0" fontId="74" fillId="4" borderId="1" xfId="9" applyFont="1" applyFill="1" applyBorder="1" applyAlignment="1">
      <alignment horizontal="center" vertical="center" wrapText="1"/>
    </xf>
    <xf numFmtId="0" fontId="74" fillId="0" borderId="1" xfId="9" applyFont="1" applyBorder="1" applyAlignment="1">
      <alignment horizontal="center" vertical="center" wrapText="1"/>
    </xf>
    <xf numFmtId="0" fontId="74" fillId="0" borderId="1" xfId="9" applyFont="1" applyBorder="1" applyAlignment="1">
      <alignment horizontal="center"/>
    </xf>
    <xf numFmtId="0" fontId="74" fillId="0" borderId="0" xfId="9" applyFont="1"/>
    <xf numFmtId="0" fontId="74" fillId="4" borderId="1" xfId="9" applyFont="1" applyFill="1" applyBorder="1" applyAlignment="1">
      <alignment horizontal="left" vertical="center"/>
    </xf>
    <xf numFmtId="0" fontId="33" fillId="4" borderId="1" xfId="9" applyFont="1" applyFill="1" applyBorder="1" applyAlignment="1">
      <alignment horizontal="left" vertical="center" wrapText="1"/>
    </xf>
    <xf numFmtId="0" fontId="74" fillId="0" borderId="1" xfId="9" applyFont="1" applyBorder="1" applyAlignment="1">
      <alignment horizontal="center" vertical="center"/>
    </xf>
    <xf numFmtId="0" fontId="44" fillId="0" borderId="0" xfId="9" applyFont="1" applyAlignment="1">
      <alignment horizontal="center" vertical="center"/>
    </xf>
    <xf numFmtId="0" fontId="33" fillId="0" borderId="0" xfId="9" applyFont="1" applyAlignment="1">
      <alignment horizontal="right"/>
    </xf>
    <xf numFmtId="169" fontId="33" fillId="0" borderId="0" xfId="9" applyNumberFormat="1" applyFont="1"/>
    <xf numFmtId="0" fontId="37" fillId="0" borderId="0" xfId="9" applyFont="1" applyAlignment="1">
      <alignment horizontal="left" vertical="center"/>
    </xf>
    <xf numFmtId="0" fontId="46" fillId="0" borderId="0" xfId="9" applyFont="1" applyAlignment="1">
      <alignment horizontal="center" vertical="center"/>
    </xf>
    <xf numFmtId="43" fontId="33" fillId="4" borderId="1" xfId="8" applyFont="1" applyFill="1" applyBorder="1" applyAlignment="1">
      <alignment horizontal="center" vertical="center" wrapText="1"/>
    </xf>
    <xf numFmtId="0" fontId="44" fillId="0" borderId="1" xfId="9" applyFont="1" applyBorder="1" applyAlignment="1">
      <alignment horizontal="center" vertical="center"/>
    </xf>
    <xf numFmtId="43" fontId="44" fillId="0" borderId="1" xfId="8" applyFont="1" applyBorder="1"/>
    <xf numFmtId="43" fontId="44" fillId="0" borderId="1" xfId="8" applyFont="1" applyBorder="1" applyAlignment="1">
      <alignment horizontal="center" vertical="center" wrapText="1"/>
    </xf>
    <xf numFmtId="0" fontId="44" fillId="0" borderId="1" xfId="9" applyFont="1" applyBorder="1"/>
    <xf numFmtId="43" fontId="38" fillId="0" borderId="3" xfId="8" applyFont="1" applyBorder="1" applyAlignment="1">
      <alignment horizontal="center" vertical="center" wrapText="1"/>
    </xf>
    <xf numFmtId="43" fontId="38" fillId="0" borderId="1" xfId="8" applyFont="1" applyBorder="1" applyAlignment="1">
      <alignment horizontal="center" vertical="center" wrapText="1"/>
    </xf>
    <xf numFmtId="43" fontId="38" fillId="0" borderId="1" xfId="8" applyFont="1" applyBorder="1" applyAlignment="1">
      <alignment horizontal="center" vertical="center"/>
    </xf>
    <xf numFmtId="43" fontId="44" fillId="0" borderId="39" xfId="8" applyFont="1" applyBorder="1" applyAlignment="1">
      <alignment horizontal="center" vertical="center" wrapText="1"/>
    </xf>
    <xf numFmtId="0" fontId="44" fillId="0" borderId="31" xfId="9" applyFont="1" applyBorder="1"/>
    <xf numFmtId="43" fontId="38" fillId="0" borderId="10" xfId="8" applyFont="1" applyBorder="1" applyAlignment="1">
      <alignment horizontal="center" vertical="center" wrapText="1"/>
    </xf>
    <xf numFmtId="43" fontId="38" fillId="0" borderId="39" xfId="8" applyFont="1" applyBorder="1" applyAlignment="1">
      <alignment horizontal="center" vertical="center" wrapText="1"/>
    </xf>
    <xf numFmtId="43" fontId="38" fillId="0" borderId="39" xfId="8" applyFont="1" applyBorder="1" applyAlignment="1">
      <alignment horizontal="center" vertical="center"/>
    </xf>
    <xf numFmtId="43" fontId="44" fillId="0" borderId="10" xfId="8" applyFont="1" applyBorder="1" applyAlignment="1">
      <alignment horizontal="left" vertical="center" wrapText="1"/>
    </xf>
    <xf numFmtId="0" fontId="44" fillId="0" borderId="2" xfId="9" applyFont="1" applyBorder="1"/>
    <xf numFmtId="43" fontId="38" fillId="0" borderId="22" xfId="8" applyFont="1" applyBorder="1" applyAlignment="1">
      <alignment horizontal="left" vertical="center" wrapText="1"/>
    </xf>
    <xf numFmtId="43" fontId="44" fillId="0" borderId="39" xfId="8" applyFont="1" applyBorder="1" applyAlignment="1">
      <alignment horizontal="left" vertical="center" wrapText="1"/>
    </xf>
    <xf numFmtId="0" fontId="44" fillId="0" borderId="0" xfId="9" applyFont="1"/>
    <xf numFmtId="0" fontId="33" fillId="0" borderId="0" xfId="9" applyFont="1" applyAlignment="1">
      <alignment horizontal="center" vertical="center" wrapText="1"/>
    </xf>
    <xf numFmtId="165" fontId="3" fillId="3" borderId="12" xfId="1" applyNumberFormat="1" applyFont="1" applyFill="1" applyBorder="1" applyAlignment="1">
      <alignment horizontal="center" vertical="center"/>
    </xf>
    <xf numFmtId="0" fontId="19" fillId="0" borderId="20" xfId="0" applyFont="1" applyBorder="1" applyAlignment="1">
      <alignment wrapText="1"/>
    </xf>
    <xf numFmtId="1" fontId="83" fillId="0" borderId="0" xfId="0" applyNumberFormat="1" applyFont="1" applyAlignment="1">
      <alignment horizontal="center"/>
    </xf>
    <xf numFmtId="165" fontId="31" fillId="3" borderId="0" xfId="1" applyNumberFormat="1" applyFont="1" applyFill="1" applyAlignment="1">
      <alignment horizontal="center" vertical="center"/>
    </xf>
    <xf numFmtId="0" fontId="31" fillId="0" borderId="0" xfId="0" applyFont="1" applyAlignment="1">
      <alignment wrapText="1"/>
    </xf>
    <xf numFmtId="0" fontId="42" fillId="0" borderId="1" xfId="0" applyFont="1" applyBorder="1" applyAlignment="1">
      <alignment wrapText="1"/>
    </xf>
    <xf numFmtId="0" fontId="43" fillId="0" borderId="1" xfId="0" applyFont="1" applyBorder="1" applyAlignment="1">
      <alignment wrapText="1"/>
    </xf>
    <xf numFmtId="165" fontId="3" fillId="3" borderId="1" xfId="1" applyNumberFormat="1" applyFont="1" applyFill="1" applyBorder="1" applyAlignment="1">
      <alignment horizontal="center" vertical="center"/>
    </xf>
    <xf numFmtId="0" fontId="3" fillId="0" borderId="31" xfId="0" applyFont="1" applyBorder="1" applyAlignment="1">
      <alignment wrapText="1"/>
    </xf>
    <xf numFmtId="0" fontId="31" fillId="4" borderId="23" xfId="0" applyFont="1" applyFill="1" applyBorder="1" applyAlignment="1">
      <alignment vertical="center" wrapText="1"/>
    </xf>
    <xf numFmtId="0" fontId="3" fillId="3" borderId="19" xfId="0" applyFont="1" applyFill="1" applyBorder="1" applyAlignment="1">
      <alignment horizontal="center" vertical="center" wrapText="1"/>
    </xf>
    <xf numFmtId="2" fontId="3" fillId="3" borderId="19" xfId="0" applyNumberFormat="1" applyFont="1" applyFill="1" applyBorder="1" applyAlignment="1">
      <alignment horizontal="center" vertical="center" wrapText="1"/>
    </xf>
    <xf numFmtId="0" fontId="19" fillId="0" borderId="20" xfId="0" applyFont="1" applyBorder="1" applyAlignment="1">
      <alignment horizontal="left" vertical="center" wrapText="1"/>
    </xf>
    <xf numFmtId="1" fontId="19" fillId="3" borderId="10" xfId="1" applyNumberFormat="1" applyFont="1" applyFill="1" applyBorder="1" applyAlignment="1">
      <alignment horizontal="center" vertical="center"/>
    </xf>
    <xf numFmtId="0" fontId="31" fillId="2" borderId="10" xfId="0" applyFont="1" applyFill="1" applyBorder="1" applyAlignment="1">
      <alignment horizontal="center" vertical="center" wrapText="1"/>
    </xf>
    <xf numFmtId="43" fontId="2" fillId="6" borderId="19" xfId="1" applyFont="1" applyFill="1" applyBorder="1" applyAlignment="1">
      <alignment horizontal="center" vertical="center"/>
    </xf>
    <xf numFmtId="43" fontId="2" fillId="6" borderId="10" xfId="1" applyFont="1" applyFill="1" applyBorder="1" applyAlignment="1">
      <alignment horizontal="center" vertical="center"/>
    </xf>
    <xf numFmtId="2" fontId="2" fillId="6" borderId="19" xfId="1" applyNumberFormat="1" applyFont="1" applyFill="1" applyBorder="1" applyAlignment="1">
      <alignment horizontal="center" vertical="center"/>
    </xf>
    <xf numFmtId="2" fontId="2" fillId="6" borderId="10" xfId="1" applyNumberFormat="1" applyFont="1" applyFill="1" applyBorder="1" applyAlignment="1">
      <alignment horizontal="center" vertical="center"/>
    </xf>
    <xf numFmtId="0" fontId="31" fillId="4" borderId="14" xfId="0" applyFont="1" applyFill="1" applyBorder="1" applyAlignment="1">
      <alignment horizontal="center" vertical="center" wrapText="1"/>
    </xf>
    <xf numFmtId="0" fontId="31" fillId="4" borderId="15" xfId="0" applyFont="1" applyFill="1" applyBorder="1" applyAlignment="1">
      <alignment horizontal="center" vertical="center" wrapText="1"/>
    </xf>
    <xf numFmtId="43" fontId="3" fillId="0" borderId="0" xfId="1" applyFont="1" applyBorder="1" applyAlignment="1">
      <alignment vertical="center" wrapText="1"/>
    </xf>
    <xf numFmtId="0" fontId="15" fillId="0" borderId="0" xfId="2" applyFont="1" applyAlignment="1">
      <alignment vertical="center" wrapText="1"/>
    </xf>
    <xf numFmtId="43" fontId="3" fillId="0" borderId="0" xfId="1" applyFont="1" applyFill="1" applyBorder="1" applyAlignment="1">
      <alignment vertical="center" wrapText="1"/>
    </xf>
    <xf numFmtId="168" fontId="15" fillId="0" borderId="28" xfId="0" applyNumberFormat="1" applyFont="1" applyBorder="1" applyAlignment="1">
      <alignment horizontal="center" vertical="center"/>
    </xf>
    <xf numFmtId="165" fontId="15" fillId="8" borderId="1" xfId="1" applyNumberFormat="1" applyFont="1" applyFill="1" applyBorder="1" applyAlignment="1">
      <alignment vertical="center" wrapText="1"/>
    </xf>
    <xf numFmtId="169" fontId="3" fillId="0" borderId="1" xfId="0" applyNumberFormat="1" applyFont="1" applyBorder="1" applyAlignment="1">
      <alignment vertical="center" wrapText="1"/>
    </xf>
    <xf numFmtId="0" fontId="3" fillId="0" borderId="0" xfId="0" applyFont="1" applyAlignment="1">
      <alignment vertical="center" wrapText="1"/>
    </xf>
    <xf numFmtId="0" fontId="5" fillId="0" borderId="0" xfId="0" applyFont="1" applyAlignment="1">
      <alignment vertical="center"/>
    </xf>
    <xf numFmtId="0" fontId="61" fillId="0" borderId="0" xfId="0" applyFont="1" applyAlignment="1">
      <alignment wrapText="1"/>
    </xf>
    <xf numFmtId="2" fontId="0" fillId="7" borderId="0" xfId="0" applyNumberFormat="1" applyFill="1"/>
    <xf numFmtId="3" fontId="13" fillId="0" borderId="10" xfId="0" applyNumberFormat="1" applyFont="1" applyBorder="1" applyAlignment="1">
      <alignment horizontal="center" vertical="center"/>
    </xf>
    <xf numFmtId="3" fontId="13" fillId="0" borderId="20" xfId="1" applyNumberFormat="1" applyFont="1" applyBorder="1" applyAlignment="1">
      <alignment horizontal="center" vertical="center"/>
    </xf>
    <xf numFmtId="3" fontId="13" fillId="0" borderId="10" xfId="1" applyNumberFormat="1" applyFont="1" applyBorder="1" applyAlignment="1">
      <alignment horizontal="center" vertical="center"/>
    </xf>
    <xf numFmtId="3" fontId="13" fillId="0" borderId="19" xfId="0" applyNumberFormat="1" applyFont="1" applyBorder="1" applyAlignment="1">
      <alignment horizontal="center" vertical="center"/>
    </xf>
    <xf numFmtId="3" fontId="13" fillId="0" borderId="25" xfId="1" applyNumberFormat="1" applyFont="1" applyBorder="1" applyAlignment="1">
      <alignment horizontal="center" vertical="center"/>
    </xf>
    <xf numFmtId="3" fontId="13" fillId="0" borderId="19" xfId="1" applyNumberFormat="1" applyFont="1" applyBorder="1" applyAlignment="1">
      <alignment horizontal="center" vertical="center"/>
    </xf>
    <xf numFmtId="3" fontId="42" fillId="0" borderId="21" xfId="0" applyNumberFormat="1" applyFont="1" applyBorder="1" applyAlignment="1">
      <alignment horizontal="center" vertical="center"/>
    </xf>
    <xf numFmtId="3" fontId="42" fillId="0" borderId="20" xfId="0" applyNumberFormat="1" applyFont="1" applyBorder="1" applyAlignment="1">
      <alignment horizontal="center" vertical="center"/>
    </xf>
    <xf numFmtId="4" fontId="5" fillId="3" borderId="10" xfId="0" applyNumberFormat="1" applyFont="1" applyFill="1" applyBorder="1" applyAlignment="1">
      <alignment horizontal="center" vertical="center"/>
    </xf>
    <xf numFmtId="43" fontId="0" fillId="0" borderId="1" xfId="1" applyFont="1" applyBorder="1" applyAlignment="1">
      <alignment vertical="center"/>
    </xf>
    <xf numFmtId="43" fontId="3" fillId="3" borderId="19" xfId="1" applyFont="1" applyFill="1" applyBorder="1" applyAlignment="1">
      <alignment horizontal="center" vertical="center"/>
    </xf>
    <xf numFmtId="0" fontId="31" fillId="3" borderId="0" xfId="0" applyFont="1" applyFill="1" applyAlignment="1">
      <alignment horizontal="center" vertical="center" wrapText="1"/>
    </xf>
    <xf numFmtId="2" fontId="31" fillId="3" borderId="0" xfId="0" applyNumberFormat="1" applyFont="1" applyFill="1" applyAlignment="1">
      <alignment horizontal="center" vertical="center" wrapText="1"/>
    </xf>
    <xf numFmtId="2" fontId="31" fillId="3" borderId="0" xfId="0" applyNumberFormat="1" applyFont="1" applyFill="1" applyAlignment="1">
      <alignment horizontal="center" vertical="center"/>
    </xf>
    <xf numFmtId="2" fontId="61" fillId="6" borderId="0" xfId="0" applyNumberFormat="1" applyFont="1" applyFill="1" applyAlignment="1">
      <alignment horizontal="center" vertical="center"/>
    </xf>
    <xf numFmtId="49" fontId="42" fillId="0" borderId="0" xfId="0" applyNumberFormat="1" applyFont="1" applyAlignment="1">
      <alignment horizontal="center" vertical="center" wrapText="1"/>
    </xf>
    <xf numFmtId="49" fontId="42" fillId="4" borderId="1" xfId="0" applyNumberFormat="1" applyFont="1" applyFill="1" applyBorder="1" applyAlignment="1">
      <alignment horizontal="center" vertical="center" wrapText="1"/>
    </xf>
    <xf numFmtId="2" fontId="31" fillId="3" borderId="1" xfId="0" applyNumberFormat="1" applyFont="1" applyFill="1" applyBorder="1" applyAlignment="1">
      <alignment horizontal="center" vertical="center" wrapText="1"/>
    </xf>
    <xf numFmtId="2" fontId="31" fillId="3" borderId="1" xfId="0" applyNumberFormat="1" applyFont="1" applyFill="1" applyBorder="1" applyAlignment="1">
      <alignment horizontal="center" vertical="center"/>
    </xf>
    <xf numFmtId="2" fontId="61" fillId="6" borderId="1" xfId="0" applyNumberFormat="1" applyFont="1" applyFill="1" applyBorder="1" applyAlignment="1">
      <alignment horizontal="center" vertical="center"/>
    </xf>
    <xf numFmtId="4" fontId="19" fillId="0" borderId="2" xfId="0" applyNumberFormat="1" applyFont="1" applyBorder="1" applyAlignment="1">
      <alignment vertical="center"/>
    </xf>
    <xf numFmtId="0" fontId="34" fillId="0" borderId="10" xfId="0" applyFont="1" applyBorder="1" applyAlignment="1">
      <alignment horizontal="center" vertical="center" wrapText="1"/>
    </xf>
    <xf numFmtId="0" fontId="34" fillId="0" borderId="0" xfId="0" applyFont="1" applyAlignment="1">
      <alignment horizontal="center" vertical="center" wrapText="1"/>
    </xf>
    <xf numFmtId="43" fontId="31" fillId="3" borderId="1" xfId="1" applyFont="1" applyFill="1" applyBorder="1" applyAlignment="1">
      <alignment horizontal="center" vertical="center"/>
    </xf>
    <xf numFmtId="43" fontId="61" fillId="6" borderId="1" xfId="1" applyFont="1" applyFill="1" applyBorder="1" applyAlignment="1">
      <alignment horizontal="center" vertical="center"/>
    </xf>
    <xf numFmtId="165" fontId="3" fillId="0" borderId="2" xfId="1" applyNumberFormat="1" applyFont="1" applyFill="1" applyBorder="1" applyAlignment="1">
      <alignment horizontal="center" vertical="center"/>
    </xf>
    <xf numFmtId="4" fontId="36" fillId="8" borderId="10" xfId="0" applyNumberFormat="1" applyFont="1" applyFill="1" applyBorder="1"/>
    <xf numFmtId="165" fontId="40" fillId="8" borderId="1" xfId="1" applyNumberFormat="1" applyFont="1" applyFill="1" applyBorder="1" applyAlignment="1">
      <alignment vertical="center" wrapText="1"/>
    </xf>
    <xf numFmtId="0" fontId="34" fillId="0" borderId="20" xfId="0" applyFont="1" applyBorder="1" applyAlignment="1">
      <alignment horizontal="center" vertical="center" wrapText="1"/>
    </xf>
    <xf numFmtId="4" fontId="36" fillId="8" borderId="29" xfId="0" applyNumberFormat="1" applyFont="1" applyFill="1" applyBorder="1"/>
    <xf numFmtId="0" fontId="36" fillId="0" borderId="10" xfId="0" applyFont="1" applyBorder="1" applyAlignment="1">
      <alignment horizontal="center" vertical="center" wrapText="1"/>
    </xf>
    <xf numFmtId="0" fontId="44" fillId="0" borderId="10" xfId="0" applyFont="1" applyBorder="1" applyAlignment="1">
      <alignment horizontal="center" vertical="center" wrapText="1"/>
    </xf>
    <xf numFmtId="0" fontId="33" fillId="0" borderId="10" xfId="0" applyFont="1" applyBorder="1" applyAlignment="1">
      <alignment horizontal="center" vertical="center" wrapText="1"/>
    </xf>
    <xf numFmtId="4" fontId="36" fillId="8" borderId="10" xfId="0" applyNumberFormat="1" applyFont="1" applyFill="1" applyBorder="1" applyAlignment="1">
      <alignment vertical="center"/>
    </xf>
    <xf numFmtId="4" fontId="36" fillId="8" borderId="27" xfId="0" applyNumberFormat="1" applyFont="1" applyFill="1" applyBorder="1" applyAlignment="1">
      <alignment vertical="center"/>
    </xf>
    <xf numFmtId="4" fontId="58" fillId="0" borderId="10" xfId="0" applyNumberFormat="1" applyFont="1" applyBorder="1" applyAlignment="1">
      <alignment vertical="center"/>
    </xf>
    <xf numFmtId="4" fontId="34" fillId="0" borderId="10" xfId="0" applyNumberFormat="1" applyFont="1" applyBorder="1" applyAlignment="1">
      <alignment vertical="center"/>
    </xf>
    <xf numFmtId="4" fontId="34" fillId="0" borderId="27" xfId="0" applyNumberFormat="1" applyFont="1" applyBorder="1" applyAlignment="1">
      <alignment vertical="center"/>
    </xf>
    <xf numFmtId="0" fontId="85" fillId="0" borderId="0" xfId="0" applyFont="1"/>
    <xf numFmtId="164" fontId="5" fillId="0" borderId="0" xfId="0" applyNumberFormat="1" applyFont="1" applyAlignment="1">
      <alignment wrapText="1"/>
    </xf>
    <xf numFmtId="0" fontId="25" fillId="4" borderId="1" xfId="0" applyFont="1" applyFill="1" applyBorder="1"/>
    <xf numFmtId="3" fontId="42" fillId="0" borderId="25" xfId="0" applyNumberFormat="1" applyFont="1" applyBorder="1" applyAlignment="1">
      <alignment horizontal="center" vertical="center"/>
    </xf>
    <xf numFmtId="3" fontId="42" fillId="0" borderId="26" xfId="0" applyNumberFormat="1" applyFont="1" applyBorder="1" applyAlignment="1">
      <alignment horizontal="center" vertical="center"/>
    </xf>
    <xf numFmtId="3" fontId="42" fillId="0" borderId="30" xfId="0" applyNumberFormat="1" applyFont="1" applyBorder="1" applyAlignment="1">
      <alignment horizontal="center" vertical="center"/>
    </xf>
    <xf numFmtId="3" fontId="42" fillId="0" borderId="1" xfId="0" applyNumberFormat="1" applyFont="1" applyBorder="1" applyAlignment="1">
      <alignment horizontal="center" vertical="center"/>
    </xf>
    <xf numFmtId="1" fontId="42" fillId="0" borderId="36" xfId="0" applyNumberFormat="1" applyFont="1" applyBorder="1" applyAlignment="1">
      <alignment horizontal="center" vertical="center"/>
    </xf>
    <xf numFmtId="1" fontId="42" fillId="0" borderId="1" xfId="0" applyNumberFormat="1" applyFont="1" applyBorder="1" applyAlignment="1">
      <alignment horizontal="center" vertical="center"/>
    </xf>
    <xf numFmtId="1" fontId="42" fillId="0" borderId="4" xfId="0" applyNumberFormat="1" applyFont="1" applyBorder="1" applyAlignment="1">
      <alignment horizontal="center" vertical="center"/>
    </xf>
    <xf numFmtId="0" fontId="33" fillId="0" borderId="1" xfId="0" applyFont="1" applyBorder="1" applyAlignment="1">
      <alignment horizontal="left" vertical="center" wrapText="1"/>
    </xf>
    <xf numFmtId="0" fontId="31" fillId="8"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8" xfId="0" applyFont="1" applyFill="1" applyBorder="1" applyAlignment="1">
      <alignment horizontal="center" vertical="center" wrapText="1"/>
    </xf>
    <xf numFmtId="49" fontId="13" fillId="8" borderId="10" xfId="0" applyNumberFormat="1" applyFont="1" applyFill="1" applyBorder="1" applyAlignment="1">
      <alignment horizontal="center" vertical="center" wrapText="1"/>
    </xf>
    <xf numFmtId="0" fontId="13" fillId="8" borderId="1" xfId="0" applyFont="1" applyFill="1" applyBorder="1" applyAlignment="1">
      <alignment horizontal="center" vertical="center" wrapText="1"/>
    </xf>
    <xf numFmtId="1" fontId="3" fillId="8" borderId="1" xfId="0" applyNumberFormat="1" applyFont="1" applyFill="1" applyBorder="1" applyAlignment="1">
      <alignment horizontal="center" vertical="center"/>
    </xf>
    <xf numFmtId="1" fontId="3" fillId="8" borderId="31" xfId="0" applyNumberFormat="1" applyFont="1" applyFill="1" applyBorder="1" applyAlignment="1">
      <alignment horizontal="center" vertical="center" wrapText="1"/>
    </xf>
    <xf numFmtId="0" fontId="33" fillId="8" borderId="0" xfId="0" applyFont="1" applyFill="1"/>
    <xf numFmtId="0" fontId="39" fillId="0" borderId="0" xfId="0" applyFont="1"/>
    <xf numFmtId="0" fontId="9" fillId="0" borderId="0" xfId="0" applyFont="1" applyAlignment="1">
      <alignment vertical="center"/>
    </xf>
    <xf numFmtId="0" fontId="17" fillId="0" borderId="0" xfId="0" applyFont="1" applyAlignment="1">
      <alignment vertical="center"/>
    </xf>
    <xf numFmtId="0" fontId="31" fillId="0" borderId="1" xfId="0" applyFont="1" applyBorder="1" applyAlignment="1">
      <alignment vertical="center" wrapText="1"/>
    </xf>
    <xf numFmtId="0" fontId="40" fillId="0" borderId="0" xfId="0" applyFont="1" applyAlignment="1">
      <alignment vertical="center"/>
    </xf>
    <xf numFmtId="0" fontId="19" fillId="0" borderId="13" xfId="0" applyFont="1" applyBorder="1" applyAlignment="1">
      <alignment vertical="center"/>
    </xf>
    <xf numFmtId="10" fontId="19" fillId="0" borderId="13" xfId="0" applyNumberFormat="1" applyFont="1" applyBorder="1" applyAlignment="1">
      <alignment vertical="center"/>
    </xf>
    <xf numFmtId="0" fontId="19" fillId="0" borderId="40" xfId="0" applyFont="1" applyBorder="1" applyAlignment="1">
      <alignment vertical="center"/>
    </xf>
    <xf numFmtId="3" fontId="19" fillId="0" borderId="10" xfId="0" applyNumberFormat="1" applyFont="1" applyBorder="1" applyAlignment="1">
      <alignment horizontal="center" vertical="center"/>
    </xf>
    <xf numFmtId="0" fontId="28" fillId="0" borderId="7" xfId="0" applyFont="1" applyBorder="1" applyAlignment="1">
      <alignment horizontal="center" vertical="center" wrapText="1"/>
    </xf>
    <xf numFmtId="0" fontId="28" fillId="0" borderId="10" xfId="0" applyFont="1" applyBorder="1" applyAlignment="1">
      <alignment horizontal="center" vertical="center" wrapText="1"/>
    </xf>
    <xf numFmtId="3" fontId="19" fillId="0" borderId="10" xfId="0" applyNumberFormat="1" applyFont="1" applyBorder="1" applyAlignment="1">
      <alignment vertical="center"/>
    </xf>
    <xf numFmtId="4" fontId="19" fillId="0" borderId="13" xfId="0" applyNumberFormat="1" applyFont="1" applyBorder="1" applyAlignment="1">
      <alignment vertical="center"/>
    </xf>
    <xf numFmtId="165" fontId="31" fillId="16" borderId="2" xfId="1" applyNumberFormat="1" applyFont="1" applyFill="1" applyBorder="1" applyAlignment="1">
      <alignment horizontal="center" vertical="center"/>
    </xf>
    <xf numFmtId="3" fontId="3" fillId="0" borderId="2" xfId="0" applyNumberFormat="1" applyFont="1" applyBorder="1" applyAlignment="1">
      <alignment horizontal="center" vertical="center" wrapText="1"/>
    </xf>
    <xf numFmtId="3" fontId="3" fillId="3" borderId="2" xfId="0" applyNumberFormat="1" applyFont="1" applyFill="1" applyBorder="1" applyAlignment="1">
      <alignment horizontal="center" vertical="center"/>
    </xf>
    <xf numFmtId="0" fontId="31" fillId="0" borderId="2" xfId="0" applyFont="1" applyBorder="1" applyAlignment="1">
      <alignment horizontal="center" vertical="center" wrapText="1"/>
    </xf>
    <xf numFmtId="0" fontId="4" fillId="6" borderId="9" xfId="0" applyFont="1" applyFill="1" applyBorder="1" applyAlignment="1">
      <alignment wrapText="1"/>
    </xf>
    <xf numFmtId="0" fontId="3" fillId="0" borderId="10" xfId="0" applyFont="1" applyBorder="1" applyAlignment="1">
      <alignment horizontal="center" vertical="center" wrapText="1"/>
    </xf>
    <xf numFmtId="3" fontId="40" fillId="0" borderId="0" xfId="0" applyNumberFormat="1" applyFont="1" applyAlignment="1">
      <alignment vertical="center"/>
    </xf>
    <xf numFmtId="0" fontId="19" fillId="8" borderId="13" xfId="0" applyFont="1" applyFill="1" applyBorder="1" applyAlignment="1">
      <alignment vertical="center"/>
    </xf>
    <xf numFmtId="4" fontId="19" fillId="8" borderId="2" xfId="0" applyNumberFormat="1" applyFont="1" applyFill="1" applyBorder="1" applyAlignment="1">
      <alignment vertical="center"/>
    </xf>
    <xf numFmtId="3" fontId="19" fillId="8" borderId="10" xfId="0" applyNumberFormat="1" applyFont="1" applyFill="1" applyBorder="1" applyAlignment="1">
      <alignment horizontal="center" vertical="center"/>
    </xf>
    <xf numFmtId="0" fontId="15" fillId="8" borderId="0" xfId="0" applyFont="1" applyFill="1" applyAlignment="1">
      <alignment vertical="center"/>
    </xf>
    <xf numFmtId="0" fontId="19" fillId="8" borderId="40" xfId="0" applyFont="1" applyFill="1" applyBorder="1" applyAlignment="1">
      <alignment vertical="center"/>
    </xf>
    <xf numFmtId="0" fontId="31" fillId="0" borderId="20" xfId="0" applyFont="1" applyBorder="1" applyAlignment="1">
      <alignment wrapText="1"/>
    </xf>
    <xf numFmtId="0" fontId="31" fillId="2" borderId="20" xfId="0" applyFont="1" applyFill="1" applyBorder="1" applyAlignment="1">
      <alignment horizontal="center" vertical="center" wrapText="1"/>
    </xf>
    <xf numFmtId="167" fontId="3" fillId="0" borderId="10" xfId="0" applyNumberFormat="1" applyFont="1" applyBorder="1" applyAlignment="1">
      <alignment vertical="center" wrapText="1"/>
    </xf>
    <xf numFmtId="166" fontId="42" fillId="0" borderId="1" xfId="4" applyNumberFormat="1" applyFont="1" applyBorder="1" applyAlignment="1" applyProtection="1">
      <alignment horizontal="center" wrapText="1"/>
      <protection locked="0"/>
    </xf>
    <xf numFmtId="2" fontId="56" fillId="0" borderId="1" xfId="4" applyNumberFormat="1" applyFont="1" applyBorder="1" applyAlignment="1" applyProtection="1">
      <alignment horizontal="center" wrapText="1"/>
      <protection locked="0"/>
    </xf>
    <xf numFmtId="0" fontId="40" fillId="8" borderId="1" xfId="3" applyFont="1" applyFill="1" applyBorder="1" applyAlignment="1">
      <alignment horizontal="center" vertical="center" wrapText="1"/>
    </xf>
    <xf numFmtId="0" fontId="40" fillId="8" borderId="0" xfId="3" applyFont="1" applyFill="1" applyAlignment="1">
      <alignment horizontal="right"/>
    </xf>
    <xf numFmtId="0" fontId="40" fillId="8" borderId="0" xfId="3" applyFont="1" applyFill="1"/>
    <xf numFmtId="49" fontId="13" fillId="8" borderId="20" xfId="0" applyNumberFormat="1"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40" xfId="0" applyFont="1" applyFill="1" applyBorder="1" applyAlignment="1">
      <alignment horizontal="center" vertical="center" wrapText="1"/>
    </xf>
    <xf numFmtId="0" fontId="15" fillId="0" borderId="0" xfId="0" applyFont="1" applyAlignment="1">
      <alignment vertical="center" wrapText="1"/>
    </xf>
    <xf numFmtId="0" fontId="28" fillId="0" borderId="12" xfId="0" applyFont="1" applyBorder="1" applyAlignment="1">
      <alignment horizontal="center" vertical="center" wrapText="1"/>
    </xf>
    <xf numFmtId="168" fontId="15" fillId="8" borderId="28" xfId="0" applyNumberFormat="1" applyFont="1" applyFill="1" applyBorder="1" applyAlignment="1">
      <alignment horizontal="center" vertical="center"/>
    </xf>
    <xf numFmtId="4" fontId="27" fillId="8" borderId="13" xfId="0" applyNumberFormat="1" applyFont="1" applyFill="1" applyBorder="1" applyAlignment="1">
      <alignment vertical="center"/>
    </xf>
    <xf numFmtId="4" fontId="19" fillId="0" borderId="13" xfId="0" applyNumberFormat="1" applyFont="1" applyBorder="1" applyAlignment="1">
      <alignment horizontal="right" vertical="center"/>
    </xf>
    <xf numFmtId="4" fontId="19" fillId="8" borderId="13" xfId="0" applyNumberFormat="1" applyFont="1" applyFill="1" applyBorder="1" applyAlignment="1">
      <alignment horizontal="right" vertical="center"/>
    </xf>
    <xf numFmtId="0" fontId="33" fillId="4" borderId="1" xfId="3" applyFont="1" applyFill="1" applyBorder="1" applyAlignment="1">
      <alignment horizontal="center" vertical="center"/>
    </xf>
    <xf numFmtId="0" fontId="34" fillId="0" borderId="0" xfId="0" applyFont="1" applyAlignment="1">
      <alignment wrapText="1"/>
    </xf>
    <xf numFmtId="9" fontId="34" fillId="0" borderId="0" xfId="0" applyNumberFormat="1" applyFont="1"/>
    <xf numFmtId="0" fontId="58" fillId="0" borderId="1" xfId="0" applyFont="1" applyBorder="1" applyAlignment="1">
      <alignment wrapText="1"/>
    </xf>
    <xf numFmtId="165" fontId="58" fillId="0" borderId="2" xfId="1" applyNumberFormat="1" applyFont="1" applyFill="1" applyBorder="1" applyAlignment="1">
      <alignment horizontal="center" vertical="center" wrapText="1"/>
    </xf>
    <xf numFmtId="165" fontId="58" fillId="3" borderId="2" xfId="1" applyNumberFormat="1" applyFont="1" applyFill="1" applyBorder="1" applyAlignment="1">
      <alignment horizontal="center" vertical="center"/>
    </xf>
    <xf numFmtId="0" fontId="34" fillId="4" borderId="1" xfId="0" applyFont="1" applyFill="1" applyBorder="1" applyAlignment="1">
      <alignment horizontal="center" vertical="center"/>
    </xf>
    <xf numFmtId="165" fontId="34" fillId="0" borderId="0" xfId="1" applyNumberFormat="1" applyFont="1"/>
    <xf numFmtId="168" fontId="39" fillId="0" borderId="0" xfId="0" applyNumberFormat="1" applyFont="1"/>
    <xf numFmtId="2" fontId="34" fillId="0" borderId="1" xfId="0" applyNumberFormat="1" applyFont="1" applyBorder="1"/>
    <xf numFmtId="165" fontId="34" fillId="0" borderId="1" xfId="1" applyNumberFormat="1" applyFont="1" applyFill="1" applyBorder="1"/>
    <xf numFmtId="43" fontId="34" fillId="0" borderId="1" xfId="1" applyFont="1" applyFill="1" applyBorder="1"/>
    <xf numFmtId="165" fontId="34" fillId="0" borderId="1" xfId="1" applyNumberFormat="1" applyFont="1" applyFill="1" applyBorder="1" applyAlignment="1">
      <alignment horizontal="center" vertical="center"/>
    </xf>
    <xf numFmtId="169" fontId="34" fillId="0" borderId="0" xfId="0" applyNumberFormat="1" applyFont="1"/>
    <xf numFmtId="4" fontId="34" fillId="0" borderId="0" xfId="0" applyNumberFormat="1" applyFont="1"/>
    <xf numFmtId="0" fontId="39" fillId="0" borderId="10" xfId="0" applyFont="1" applyBorder="1"/>
    <xf numFmtId="0" fontId="34" fillId="0" borderId="10" xfId="0" applyFont="1" applyBorder="1" applyAlignment="1">
      <alignment horizontal="center" vertical="center"/>
    </xf>
    <xf numFmtId="0" fontId="39" fillId="0" borderId="48" xfId="0" applyFont="1" applyBorder="1" applyAlignment="1">
      <alignment horizontal="center" vertical="center"/>
    </xf>
    <xf numFmtId="0" fontId="34" fillId="0" borderId="22" xfId="0" applyFont="1" applyBorder="1" applyAlignment="1">
      <alignment horizontal="center" vertical="center"/>
    </xf>
    <xf numFmtId="0" fontId="39" fillId="0" borderId="10" xfId="0" applyFont="1" applyBorder="1" applyAlignment="1">
      <alignment horizontal="center"/>
    </xf>
    <xf numFmtId="3" fontId="34" fillId="0" borderId="10" xfId="0" applyNumberFormat="1" applyFont="1" applyBorder="1" applyAlignment="1">
      <alignment horizontal="center" vertical="center"/>
    </xf>
    <xf numFmtId="3" fontId="58" fillId="0" borderId="10" xfId="0" applyNumberFormat="1" applyFont="1" applyBorder="1" applyAlignment="1">
      <alignment horizontal="center"/>
    </xf>
    <xf numFmtId="3" fontId="87" fillId="0" borderId="48" xfId="0" applyNumberFormat="1" applyFont="1" applyBorder="1" applyAlignment="1">
      <alignment horizontal="center"/>
    </xf>
    <xf numFmtId="3" fontId="58" fillId="0" borderId="22" xfId="0" applyNumberFormat="1" applyFont="1" applyBorder="1" applyAlignment="1">
      <alignment horizontal="center"/>
    </xf>
    <xf numFmtId="3" fontId="39" fillId="0" borderId="10" xfId="0" applyNumberFormat="1" applyFont="1" applyBorder="1" applyAlignment="1">
      <alignment horizontal="center"/>
    </xf>
    <xf numFmtId="3" fontId="34" fillId="8" borderId="1" xfId="0" applyNumberFormat="1" applyFont="1" applyFill="1" applyBorder="1" applyAlignment="1">
      <alignment horizontal="center" vertical="center"/>
    </xf>
    <xf numFmtId="0" fontId="58" fillId="0" borderId="0" xfId="0" applyFont="1" applyAlignment="1">
      <alignment horizontal="left" wrapText="1"/>
    </xf>
    <xf numFmtId="3" fontId="58" fillId="0" borderId="0" xfId="0" applyNumberFormat="1" applyFont="1" applyAlignment="1">
      <alignment horizontal="center" vertical="center"/>
    </xf>
    <xf numFmtId="0" fontId="88" fillId="0" borderId="0" xfId="0" applyFont="1"/>
    <xf numFmtId="3" fontId="58" fillId="8" borderId="1" xfId="0" applyNumberFormat="1" applyFont="1" applyFill="1" applyBorder="1" applyAlignment="1">
      <alignment horizontal="center" vertical="center"/>
    </xf>
    <xf numFmtId="0" fontId="36" fillId="16" borderId="1" xfId="0" applyFont="1" applyFill="1" applyBorder="1" applyAlignment="1">
      <alignment horizontal="center" vertical="center" wrapText="1"/>
    </xf>
    <xf numFmtId="3" fontId="15" fillId="0" borderId="1" xfId="3" applyNumberFormat="1" applyFont="1" applyBorder="1" applyAlignment="1">
      <alignment horizontal="right"/>
    </xf>
    <xf numFmtId="3" fontId="15" fillId="8" borderId="1" xfId="3" applyNumberFormat="1" applyFont="1" applyFill="1" applyBorder="1" applyAlignment="1">
      <alignment horizontal="right"/>
    </xf>
    <xf numFmtId="0" fontId="60" fillId="0" borderId="0" xfId="9" applyFont="1"/>
    <xf numFmtId="0" fontId="34" fillId="0" borderId="0" xfId="9" applyFont="1" applyAlignment="1">
      <alignment vertical="center" wrapText="1"/>
    </xf>
    <xf numFmtId="0" fontId="34" fillId="0" borderId="0" xfId="9" applyFont="1"/>
    <xf numFmtId="0" fontId="34" fillId="0" borderId="0" xfId="9" applyFont="1" applyAlignment="1">
      <alignment horizontal="left" vertical="center" wrapText="1"/>
    </xf>
    <xf numFmtId="0" fontId="34" fillId="0" borderId="0" xfId="9" applyFont="1" applyAlignment="1">
      <alignment horizontal="left"/>
    </xf>
    <xf numFmtId="0" fontId="66" fillId="0" borderId="0" xfId="2" applyFont="1"/>
    <xf numFmtId="0" fontId="34" fillId="8" borderId="1" xfId="3" applyFont="1" applyFill="1" applyBorder="1" applyAlignment="1">
      <alignment horizontal="left" vertical="center" wrapText="1"/>
    </xf>
    <xf numFmtId="3" fontId="44" fillId="0" borderId="1" xfId="3" applyNumberFormat="1" applyFont="1" applyBorder="1" applyAlignment="1">
      <alignment horizontal="center" vertical="center"/>
    </xf>
    <xf numFmtId="3" fontId="74" fillId="0" borderId="1" xfId="3" applyNumberFormat="1" applyFont="1" applyBorder="1" applyAlignment="1">
      <alignment horizontal="center" vertical="center"/>
    </xf>
    <xf numFmtId="0" fontId="5" fillId="0" borderId="13" xfId="0" applyFont="1" applyBorder="1" applyAlignment="1">
      <alignment vertical="center"/>
    </xf>
    <xf numFmtId="3" fontId="5" fillId="0" borderId="13" xfId="0" applyNumberFormat="1" applyFont="1" applyBorder="1" applyAlignment="1">
      <alignment vertical="center"/>
    </xf>
    <xf numFmtId="3" fontId="5" fillId="0" borderId="0" xfId="0" applyNumberFormat="1" applyFont="1" applyAlignment="1">
      <alignment vertical="center"/>
    </xf>
    <xf numFmtId="0" fontId="21" fillId="0" borderId="0" xfId="0" applyFont="1" applyAlignment="1">
      <alignment vertical="center"/>
    </xf>
    <xf numFmtId="3" fontId="5" fillId="0" borderId="13" xfId="0" applyNumberFormat="1" applyFont="1" applyBorder="1" applyAlignment="1">
      <alignment horizontal="center" vertical="center"/>
    </xf>
    <xf numFmtId="0" fontId="5" fillId="0" borderId="0" xfId="0" applyFont="1" applyAlignment="1">
      <alignment horizontal="center"/>
    </xf>
    <xf numFmtId="0" fontId="21" fillId="0" borderId="0" xfId="0" applyFont="1" applyAlignment="1">
      <alignment horizontal="center"/>
    </xf>
    <xf numFmtId="0" fontId="5" fillId="0" borderId="13" xfId="0" applyFont="1" applyBorder="1" applyAlignment="1">
      <alignment horizontal="center" vertical="center"/>
    </xf>
    <xf numFmtId="9" fontId="5" fillId="0" borderId="13" xfId="0" applyNumberFormat="1" applyFont="1" applyBorder="1" applyAlignment="1">
      <alignment horizontal="center" vertical="center"/>
    </xf>
    <xf numFmtId="0" fontId="5" fillId="0" borderId="0" xfId="0" applyFont="1" applyAlignment="1">
      <alignment horizontal="left" vertical="center"/>
    </xf>
    <xf numFmtId="0" fontId="21" fillId="0" borderId="0" xfId="0" applyFont="1" applyAlignment="1">
      <alignment horizontal="left" vertical="center"/>
    </xf>
    <xf numFmtId="3" fontId="5" fillId="0" borderId="13" xfId="0" applyNumberFormat="1" applyFont="1" applyBorder="1" applyAlignment="1">
      <alignment horizontal="right" vertical="center"/>
    </xf>
    <xf numFmtId="0" fontId="5" fillId="0" borderId="13" xfId="0" applyFont="1" applyBorder="1" applyAlignment="1">
      <alignment horizontal="right" vertical="center"/>
    </xf>
    <xf numFmtId="0" fontId="19" fillId="0" borderId="13" xfId="0" applyFont="1" applyBorder="1" applyAlignment="1">
      <alignment vertical="center" wrapText="1"/>
    </xf>
    <xf numFmtId="0" fontId="5" fillId="8" borderId="0" xfId="0" applyFont="1" applyFill="1" applyAlignment="1">
      <alignment vertical="center"/>
    </xf>
    <xf numFmtId="0" fontId="58" fillId="8" borderId="4" xfId="0" applyFont="1" applyFill="1" applyBorder="1" applyAlignment="1">
      <alignment vertical="center" wrapText="1"/>
    </xf>
    <xf numFmtId="9" fontId="5" fillId="16" borderId="1" xfId="0" applyNumberFormat="1" applyFont="1" applyFill="1" applyBorder="1" applyAlignment="1">
      <alignment horizontal="center" vertical="center"/>
    </xf>
    <xf numFmtId="0" fontId="5" fillId="16" borderId="2" xfId="0" applyFont="1" applyFill="1" applyBorder="1" applyAlignment="1">
      <alignment vertical="center"/>
    </xf>
    <xf numFmtId="0" fontId="19" fillId="0" borderId="13" xfId="0" applyFont="1" applyBorder="1" applyAlignment="1">
      <alignment horizontal="center" vertical="center"/>
    </xf>
    <xf numFmtId="0" fontId="5" fillId="0" borderId="13" xfId="0" applyFont="1" applyBorder="1" applyAlignment="1">
      <alignment vertical="center" wrapText="1"/>
    </xf>
    <xf numFmtId="0" fontId="76" fillId="0" borderId="0" xfId="0" applyFont="1" applyAlignment="1">
      <alignment vertical="center"/>
    </xf>
    <xf numFmtId="0" fontId="76" fillId="8" borderId="0" xfId="0" applyFont="1" applyFill="1" applyAlignment="1">
      <alignment horizontal="left" vertical="center" wrapText="1"/>
    </xf>
    <xf numFmtId="0" fontId="19" fillId="8" borderId="41" xfId="0" applyFont="1" applyFill="1" applyBorder="1" applyAlignment="1">
      <alignment horizontal="center"/>
    </xf>
    <xf numFmtId="9" fontId="5" fillId="8" borderId="13" xfId="0" applyNumberFormat="1" applyFont="1" applyFill="1" applyBorder="1" applyAlignment="1">
      <alignment horizontal="center" vertical="center"/>
    </xf>
    <xf numFmtId="0" fontId="19" fillId="8" borderId="13" xfId="0" applyFont="1" applyFill="1" applyBorder="1" applyAlignment="1">
      <alignment horizontal="center" vertical="center"/>
    </xf>
    <xf numFmtId="3" fontId="19" fillId="8" borderId="13" xfId="0" applyNumberFormat="1" applyFont="1" applyFill="1" applyBorder="1" applyAlignment="1">
      <alignment horizontal="right" vertical="center"/>
    </xf>
    <xf numFmtId="0" fontId="19" fillId="8" borderId="0" xfId="0" applyFont="1" applyFill="1" applyAlignment="1">
      <alignment vertical="center"/>
    </xf>
    <xf numFmtId="0" fontId="5" fillId="0" borderId="10" xfId="0" applyFont="1" applyBorder="1" applyAlignment="1">
      <alignment vertical="center"/>
    </xf>
    <xf numFmtId="0" fontId="5" fillId="0" borderId="10" xfId="0" applyFont="1" applyBorder="1" applyAlignment="1">
      <alignment horizontal="left" vertical="center"/>
    </xf>
    <xf numFmtId="0" fontId="5" fillId="8" borderId="10" xfId="0" applyFont="1" applyFill="1" applyBorder="1" applyAlignment="1">
      <alignment vertical="center"/>
    </xf>
    <xf numFmtId="0" fontId="76" fillId="8" borderId="10" xfId="0" applyFont="1" applyFill="1" applyBorder="1" applyAlignment="1">
      <alignment horizontal="left" vertical="center"/>
    </xf>
    <xf numFmtId="0" fontId="74" fillId="8" borderId="1" xfId="0" applyFont="1" applyFill="1" applyBorder="1" applyAlignment="1">
      <alignment vertical="center" wrapText="1"/>
    </xf>
    <xf numFmtId="0" fontId="76" fillId="8" borderId="18" xfId="0" applyFont="1" applyFill="1" applyBorder="1" applyAlignment="1">
      <alignment vertical="center" wrapText="1"/>
    </xf>
    <xf numFmtId="3" fontId="5" fillId="0" borderId="41" xfId="0" applyNumberFormat="1" applyFont="1" applyBorder="1" applyAlignment="1">
      <alignment horizontal="center" vertical="center"/>
    </xf>
    <xf numFmtId="0" fontId="76" fillId="8" borderId="19" xfId="0" applyFont="1" applyFill="1" applyBorder="1" applyAlignment="1">
      <alignment vertical="center"/>
    </xf>
    <xf numFmtId="0" fontId="19" fillId="8" borderId="12" xfId="0" applyFont="1" applyFill="1" applyBorder="1" applyAlignment="1">
      <alignment vertical="center"/>
    </xf>
    <xf numFmtId="9" fontId="19" fillId="8" borderId="41" xfId="0" applyNumberFormat="1" applyFont="1" applyFill="1" applyBorder="1" applyAlignment="1">
      <alignment horizontal="center" vertical="center"/>
    </xf>
    <xf numFmtId="4" fontId="19" fillId="8" borderId="41" xfId="0" applyNumberFormat="1" applyFont="1" applyFill="1" applyBorder="1" applyAlignment="1">
      <alignment vertical="center"/>
    </xf>
    <xf numFmtId="3" fontId="19" fillId="8" borderId="41" xfId="0" applyNumberFormat="1" applyFont="1" applyFill="1" applyBorder="1" applyAlignment="1">
      <alignment horizontal="center" vertical="center"/>
    </xf>
    <xf numFmtId="3" fontId="19" fillId="8" borderId="41" xfId="0" applyNumberFormat="1" applyFont="1" applyFill="1" applyBorder="1" applyAlignment="1">
      <alignment vertical="center"/>
    </xf>
    <xf numFmtId="0" fontId="74" fillId="8" borderId="3" xfId="0" applyFont="1" applyFill="1" applyBorder="1" applyAlignment="1">
      <alignment vertical="center" wrapText="1"/>
    </xf>
    <xf numFmtId="0" fontId="5" fillId="0" borderId="10" xfId="0" applyFont="1" applyBorder="1" applyAlignment="1">
      <alignment vertical="center" wrapText="1"/>
    </xf>
    <xf numFmtId="0" fontId="5" fillId="0" borderId="20" xfId="0" applyFont="1" applyBorder="1" applyAlignment="1">
      <alignment vertical="center"/>
    </xf>
    <xf numFmtId="0" fontId="5" fillId="0" borderId="41" xfId="0" applyFont="1" applyBorder="1" applyAlignment="1">
      <alignment horizontal="left" vertical="center" wrapText="1"/>
    </xf>
    <xf numFmtId="3" fontId="5" fillId="0" borderId="40" xfId="0" applyNumberFormat="1" applyFont="1" applyBorder="1" applyAlignment="1">
      <alignment vertical="center"/>
    </xf>
    <xf numFmtId="3" fontId="5" fillId="0" borderId="40" xfId="0" applyNumberFormat="1" applyFont="1" applyBorder="1" applyAlignment="1">
      <alignment horizontal="right" vertical="center"/>
    </xf>
    <xf numFmtId="0" fontId="58" fillId="8" borderId="22" xfId="0" applyFont="1" applyFill="1" applyBorder="1" applyAlignment="1">
      <alignment vertical="center" wrapText="1"/>
    </xf>
    <xf numFmtId="3" fontId="19" fillId="0" borderId="1" xfId="0" applyNumberFormat="1" applyFont="1" applyBorder="1" applyAlignment="1">
      <alignment horizontal="center" vertical="center" wrapText="1"/>
    </xf>
    <xf numFmtId="0" fontId="76" fillId="0" borderId="40" xfId="0" applyFont="1" applyBorder="1" applyAlignment="1">
      <alignment vertical="center" wrapText="1"/>
    </xf>
    <xf numFmtId="0" fontId="5" fillId="0" borderId="22" xfId="0" applyFont="1" applyBorder="1" applyAlignment="1">
      <alignment vertical="center"/>
    </xf>
    <xf numFmtId="0" fontId="34" fillId="8" borderId="11" xfId="0" applyFont="1" applyFill="1" applyBorder="1" applyAlignment="1">
      <alignment vertical="center" wrapText="1"/>
    </xf>
    <xf numFmtId="3" fontId="21" fillId="0" borderId="10" xfId="0" applyNumberFormat="1" applyFont="1" applyBorder="1"/>
    <xf numFmtId="3" fontId="21" fillId="0" borderId="19" xfId="0" applyNumberFormat="1" applyFont="1" applyBorder="1" applyAlignment="1">
      <alignment wrapText="1"/>
    </xf>
    <xf numFmtId="3" fontId="21" fillId="8" borderId="10" xfId="0" applyNumberFormat="1" applyFont="1" applyFill="1" applyBorder="1"/>
    <xf numFmtId="3" fontId="21" fillId="0" borderId="22" xfId="0" applyNumberFormat="1" applyFont="1" applyBorder="1"/>
    <xf numFmtId="3" fontId="21" fillId="0" borderId="10" xfId="0" applyNumberFormat="1" applyFont="1" applyBorder="1" applyAlignment="1">
      <alignment horizontal="right"/>
    </xf>
    <xf numFmtId="3" fontId="21" fillId="0" borderId="19" xfId="0" applyNumberFormat="1" applyFont="1" applyBorder="1" applyAlignment="1">
      <alignment horizontal="right"/>
    </xf>
    <xf numFmtId="3" fontId="21" fillId="8" borderId="10" xfId="0" applyNumberFormat="1" applyFont="1" applyFill="1" applyBorder="1" applyAlignment="1">
      <alignment horizontal="right"/>
    </xf>
    <xf numFmtId="3" fontId="21" fillId="8" borderId="19" xfId="0" applyNumberFormat="1" applyFont="1" applyFill="1" applyBorder="1" applyAlignment="1">
      <alignment horizontal="right"/>
    </xf>
    <xf numFmtId="3" fontId="21" fillId="0" borderId="10" xfId="0" applyNumberFormat="1" applyFont="1" applyBorder="1" applyAlignment="1">
      <alignment wrapText="1"/>
    </xf>
    <xf numFmtId="3" fontId="21" fillId="0" borderId="21" xfId="0" applyNumberFormat="1" applyFont="1" applyBorder="1" applyAlignment="1">
      <alignment wrapText="1"/>
    </xf>
    <xf numFmtId="0" fontId="21" fillId="0" borderId="19" xfId="0" applyFont="1" applyBorder="1" applyAlignment="1">
      <alignment horizontal="center" vertical="center"/>
    </xf>
    <xf numFmtId="3" fontId="21" fillId="0" borderId="26" xfId="0" applyNumberFormat="1" applyFont="1" applyBorder="1"/>
    <xf numFmtId="0" fontId="4" fillId="8" borderId="10" xfId="0" applyFont="1" applyFill="1" applyBorder="1" applyAlignment="1">
      <alignment horizontal="left" vertical="center" wrapText="1"/>
    </xf>
    <xf numFmtId="0" fontId="4" fillId="8" borderId="10" xfId="0" applyFont="1" applyFill="1" applyBorder="1" applyAlignment="1">
      <alignment vertical="center" wrapText="1"/>
    </xf>
    <xf numFmtId="3" fontId="4" fillId="8" borderId="10" xfId="0" applyNumberFormat="1" applyFont="1" applyFill="1" applyBorder="1" applyAlignment="1">
      <alignment wrapText="1"/>
    </xf>
    <xf numFmtId="0" fontId="4" fillId="8" borderId="19" xfId="0" applyFont="1" applyFill="1" applyBorder="1" applyAlignment="1">
      <alignment vertical="center" wrapText="1"/>
    </xf>
    <xf numFmtId="0" fontId="4" fillId="8" borderId="19" xfId="0" applyFont="1" applyFill="1" applyBorder="1" applyAlignment="1">
      <alignment horizontal="left" vertical="center" wrapText="1"/>
    </xf>
    <xf numFmtId="3" fontId="21" fillId="0" borderId="21" xfId="0" applyNumberFormat="1" applyFont="1" applyBorder="1"/>
    <xf numFmtId="0" fontId="75" fillId="0" borderId="0" xfId="0" applyFont="1"/>
    <xf numFmtId="0" fontId="72" fillId="16" borderId="10" xfId="0" applyFont="1" applyFill="1" applyBorder="1" applyAlignment="1">
      <alignment horizontal="center" vertical="center"/>
    </xf>
    <xf numFmtId="0" fontId="72" fillId="16" borderId="10" xfId="0" applyFont="1" applyFill="1" applyBorder="1" applyAlignment="1">
      <alignment horizontal="center" vertical="center" wrapText="1"/>
    </xf>
    <xf numFmtId="2" fontId="25" fillId="0" borderId="0" xfId="0" applyNumberFormat="1" applyFont="1"/>
    <xf numFmtId="0" fontId="60" fillId="0" borderId="1" xfId="0" applyFont="1" applyBorder="1" applyAlignment="1">
      <alignment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3" fontId="15" fillId="0" borderId="0" xfId="0" applyNumberFormat="1" applyFont="1"/>
    <xf numFmtId="43" fontId="5" fillId="0" borderId="10" xfId="1" applyFont="1" applyFill="1" applyBorder="1" applyAlignment="1">
      <alignment horizontal="center" vertical="center"/>
    </xf>
    <xf numFmtId="2" fontId="5" fillId="0" borderId="10" xfId="0" applyNumberFormat="1" applyFont="1" applyBorder="1" applyAlignment="1">
      <alignment horizontal="center" vertical="center"/>
    </xf>
    <xf numFmtId="165" fontId="5" fillId="0" borderId="10" xfId="1" applyNumberFormat="1" applyFont="1" applyFill="1" applyBorder="1" applyAlignment="1">
      <alignment horizontal="center" vertical="center"/>
    </xf>
    <xf numFmtId="165" fontId="19" fillId="0" borderId="10" xfId="1" applyNumberFormat="1" applyFont="1" applyFill="1" applyBorder="1" applyAlignment="1">
      <alignment horizontal="center" vertical="center"/>
    </xf>
    <xf numFmtId="43" fontId="3" fillId="0" borderId="13" xfId="1" applyFont="1" applyFill="1" applyBorder="1" applyAlignment="1">
      <alignment vertical="center" wrapText="1"/>
    </xf>
    <xf numFmtId="49" fontId="4" fillId="4" borderId="10" xfId="0" applyNumberFormat="1" applyFont="1" applyFill="1" applyBorder="1" applyAlignment="1">
      <alignment horizontal="center" vertical="center" wrapText="1"/>
    </xf>
    <xf numFmtId="0" fontId="0" fillId="8" borderId="0" xfId="0" applyFill="1"/>
    <xf numFmtId="2" fontId="31" fillId="3" borderId="4" xfId="0" applyNumberFormat="1" applyFont="1" applyFill="1" applyBorder="1" applyAlignment="1">
      <alignment horizontal="center" vertical="center" wrapText="1"/>
    </xf>
    <xf numFmtId="0" fontId="48" fillId="0" borderId="0" xfId="0" applyFont="1" applyAlignment="1">
      <alignment vertical="center" wrapText="1"/>
    </xf>
    <xf numFmtId="0" fontId="40" fillId="0" borderId="2" xfId="0" applyFont="1" applyBorder="1"/>
    <xf numFmtId="0" fontId="40" fillId="0" borderId="1" xfId="0" applyFont="1" applyBorder="1" applyAlignment="1">
      <alignment horizontal="center"/>
    </xf>
    <xf numFmtId="164" fontId="40" fillId="0" borderId="0" xfId="0" applyNumberFormat="1" applyFont="1"/>
    <xf numFmtId="3" fontId="33" fillId="8" borderId="1" xfId="3" applyNumberFormat="1" applyFont="1" applyFill="1" applyBorder="1" applyAlignment="1">
      <alignment horizontal="center" vertical="center" wrapText="1"/>
    </xf>
    <xf numFmtId="3" fontId="76" fillId="0" borderId="19" xfId="0" applyNumberFormat="1" applyFont="1" applyBorder="1" applyAlignment="1">
      <alignment horizontal="right"/>
    </xf>
    <xf numFmtId="0" fontId="14" fillId="0" borderId="0" xfId="0" applyFont="1"/>
    <xf numFmtId="0" fontId="13" fillId="0" borderId="3" xfId="0" applyFont="1" applyBorder="1"/>
    <xf numFmtId="9" fontId="13" fillId="0" borderId="1" xfId="0" applyNumberFormat="1" applyFont="1" applyBorder="1" applyAlignment="1">
      <alignment wrapText="1"/>
    </xf>
    <xf numFmtId="3" fontId="13" fillId="0" borderId="13" xfId="0" applyNumberFormat="1" applyFont="1" applyBorder="1"/>
    <xf numFmtId="9" fontId="13" fillId="3" borderId="4" xfId="0" applyNumberFormat="1" applyFont="1" applyFill="1" applyBorder="1" applyAlignment="1">
      <alignment wrapText="1"/>
    </xf>
    <xf numFmtId="3" fontId="14" fillId="0" borderId="4" xfId="0" applyNumberFormat="1" applyFont="1" applyBorder="1"/>
    <xf numFmtId="0" fontId="13" fillId="0" borderId="2" xfId="0" applyFont="1" applyBorder="1" applyAlignment="1">
      <alignment horizontal="center" vertical="center" wrapText="1"/>
    </xf>
    <xf numFmtId="3" fontId="13" fillId="0" borderId="13" xfId="0" applyNumberFormat="1" applyFont="1" applyBorder="1" applyAlignment="1">
      <alignment horizontal="center" wrapText="1"/>
    </xf>
    <xf numFmtId="0" fontId="13" fillId="0" borderId="13" xfId="0" applyFont="1" applyBorder="1" applyAlignment="1">
      <alignment horizontal="right" wrapText="1"/>
    </xf>
    <xf numFmtId="3" fontId="72" fillId="16" borderId="1" xfId="0" applyNumberFormat="1" applyFont="1" applyFill="1" applyBorder="1"/>
    <xf numFmtId="0" fontId="72" fillId="16" borderId="1" xfId="0" applyFont="1" applyFill="1" applyBorder="1"/>
    <xf numFmtId="0" fontId="5" fillId="8" borderId="0" xfId="0" applyFont="1" applyFill="1"/>
    <xf numFmtId="0" fontId="21" fillId="8" borderId="0" xfId="0" applyFont="1" applyFill="1"/>
    <xf numFmtId="0" fontId="90" fillId="16" borderId="10" xfId="0" applyFont="1" applyFill="1" applyBorder="1" applyAlignment="1">
      <alignment horizontal="left" vertical="center" wrapText="1"/>
    </xf>
    <xf numFmtId="43" fontId="89" fillId="0" borderId="1" xfId="1" applyFont="1" applyBorder="1"/>
    <xf numFmtId="0" fontId="40" fillId="8" borderId="20" xfId="0" applyFont="1" applyFill="1" applyBorder="1" applyAlignment="1">
      <alignment horizontal="center" vertical="center"/>
    </xf>
    <xf numFmtId="0" fontId="40" fillId="8" borderId="19" xfId="0" applyFont="1" applyFill="1" applyBorder="1" applyAlignment="1">
      <alignment horizontal="center" vertical="center"/>
    </xf>
    <xf numFmtId="0" fontId="40" fillId="8" borderId="22" xfId="0" applyFont="1" applyFill="1" applyBorder="1" applyAlignment="1">
      <alignment horizontal="center" vertical="center"/>
    </xf>
    <xf numFmtId="0" fontId="40" fillId="8" borderId="25" xfId="0" applyFont="1" applyFill="1" applyBorder="1" applyAlignment="1">
      <alignment horizontal="center" vertical="center"/>
    </xf>
    <xf numFmtId="0" fontId="40" fillId="8" borderId="1" xfId="0" applyFont="1" applyFill="1" applyBorder="1" applyAlignment="1">
      <alignment horizontal="center" vertical="center"/>
    </xf>
    <xf numFmtId="0" fontId="40" fillId="8" borderId="0" xfId="0" applyFont="1" applyFill="1"/>
    <xf numFmtId="0" fontId="40" fillId="8" borderId="31" xfId="0" applyFont="1" applyFill="1" applyBorder="1" applyAlignment="1">
      <alignment horizontal="center" vertical="center"/>
    </xf>
    <xf numFmtId="0" fontId="85" fillId="8" borderId="0" xfId="0" applyFont="1" applyFill="1"/>
    <xf numFmtId="0" fontId="0" fillId="0" borderId="0" xfId="0" applyAlignment="1">
      <alignment horizontal="center" vertical="center"/>
    </xf>
    <xf numFmtId="3" fontId="21" fillId="8" borderId="19" xfId="0" applyNumberFormat="1" applyFont="1" applyFill="1" applyBorder="1"/>
    <xf numFmtId="0" fontId="15" fillId="0" borderId="10" xfId="0" applyFont="1" applyBorder="1" applyAlignment="1">
      <alignment wrapText="1"/>
    </xf>
    <xf numFmtId="3" fontId="15" fillId="0" borderId="10" xfId="0" applyNumberFormat="1" applyFont="1" applyBorder="1" applyAlignment="1">
      <alignment vertical="center"/>
    </xf>
    <xf numFmtId="0" fontId="15" fillId="4" borderId="1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59" xfId="0" applyFont="1" applyFill="1" applyBorder="1" applyAlignment="1">
      <alignment horizontal="center" vertical="center" wrapText="1"/>
    </xf>
    <xf numFmtId="0" fontId="31" fillId="0" borderId="10" xfId="0" applyFont="1" applyBorder="1" applyAlignment="1">
      <alignment wrapText="1"/>
    </xf>
    <xf numFmtId="0" fontId="42" fillId="0" borderId="10" xfId="0" applyFont="1" applyBorder="1" applyAlignment="1">
      <alignment wrapText="1"/>
    </xf>
    <xf numFmtId="0" fontId="42" fillId="0" borderId="19" xfId="0" applyFont="1" applyBorder="1" applyAlignment="1">
      <alignment wrapText="1"/>
    </xf>
    <xf numFmtId="0" fontId="40" fillId="0" borderId="10" xfId="0" applyFont="1" applyBorder="1" applyAlignment="1">
      <alignment wrapText="1"/>
    </xf>
    <xf numFmtId="0" fontId="40" fillId="0" borderId="22" xfId="0" applyFont="1" applyBorder="1" applyAlignment="1">
      <alignment wrapText="1"/>
    </xf>
    <xf numFmtId="0" fontId="40" fillId="0" borderId="19" xfId="0" applyFont="1" applyBorder="1" applyAlignment="1">
      <alignment wrapText="1"/>
    </xf>
    <xf numFmtId="0" fontId="40" fillId="0" borderId="19" xfId="0" applyFont="1" applyBorder="1" applyAlignment="1">
      <alignment horizontal="left" vertical="center" wrapText="1"/>
    </xf>
    <xf numFmtId="0" fontId="31" fillId="0" borderId="22" xfId="0" applyFont="1" applyBorder="1" applyAlignment="1">
      <alignment wrapText="1"/>
    </xf>
    <xf numFmtId="0" fontId="40" fillId="8" borderId="0" xfId="0" applyFont="1" applyFill="1" applyAlignment="1">
      <alignment horizontal="right"/>
    </xf>
    <xf numFmtId="0" fontId="85" fillId="8" borderId="0" xfId="0" applyFont="1" applyFill="1" applyAlignment="1">
      <alignment horizontal="right"/>
    </xf>
    <xf numFmtId="164" fontId="85" fillId="0" borderId="1" xfId="0" applyNumberFormat="1" applyFont="1" applyBorder="1"/>
    <xf numFmtId="0" fontId="91" fillId="0" borderId="0" xfId="0" applyFont="1" applyAlignment="1">
      <alignment horizontal="right"/>
    </xf>
    <xf numFmtId="0" fontId="15" fillId="0" borderId="20" xfId="0" applyFont="1" applyBorder="1"/>
    <xf numFmtId="0" fontId="34" fillId="0" borderId="20" xfId="0" applyFont="1" applyBorder="1"/>
    <xf numFmtId="3" fontId="15" fillId="0" borderId="21" xfId="0" applyNumberFormat="1" applyFont="1" applyBorder="1" applyAlignment="1">
      <alignment vertical="center"/>
    </xf>
    <xf numFmtId="0" fontId="92" fillId="0" borderId="10" xfId="0" applyFont="1" applyBorder="1" applyAlignment="1">
      <alignment wrapText="1"/>
    </xf>
    <xf numFmtId="165" fontId="31" fillId="3" borderId="10" xfId="1" applyNumberFormat="1" applyFont="1" applyFill="1" applyBorder="1" applyAlignment="1">
      <alignment horizontal="center" vertical="center"/>
    </xf>
    <xf numFmtId="0" fontId="31" fillId="0" borderId="20" xfId="0" applyFont="1" applyBorder="1" applyAlignment="1">
      <alignment vertical="center" wrapText="1"/>
    </xf>
    <xf numFmtId="165" fontId="31" fillId="3" borderId="12" xfId="1" applyNumberFormat="1" applyFont="1" applyFill="1" applyBorder="1" applyAlignment="1">
      <alignment horizontal="center" vertical="center"/>
    </xf>
    <xf numFmtId="3" fontId="31" fillId="0" borderId="46" xfId="0" applyNumberFormat="1" applyFont="1" applyBorder="1" applyAlignment="1">
      <alignment horizontal="right" vertical="center" wrapText="1"/>
    </xf>
    <xf numFmtId="3" fontId="31" fillId="0" borderId="10" xfId="0" applyNumberFormat="1" applyFont="1" applyBorder="1" applyAlignment="1">
      <alignment horizontal="right" vertical="center" wrapText="1"/>
    </xf>
    <xf numFmtId="3" fontId="50" fillId="8" borderId="1" xfId="0" applyNumberFormat="1" applyFont="1" applyFill="1" applyBorder="1" applyAlignment="1">
      <alignment wrapText="1"/>
    </xf>
    <xf numFmtId="0" fontId="48" fillId="0" borderId="10" xfId="0" applyFont="1" applyBorder="1" applyAlignment="1">
      <alignment wrapText="1"/>
    </xf>
    <xf numFmtId="0" fontId="77" fillId="0" borderId="0" xfId="0" applyFont="1" applyAlignment="1">
      <alignment wrapText="1"/>
    </xf>
    <xf numFmtId="0" fontId="93" fillId="0" borderId="10" xfId="0" applyFont="1" applyBorder="1" applyAlignment="1">
      <alignment horizontal="center" vertical="center"/>
    </xf>
    <xf numFmtId="0" fontId="93" fillId="0" borderId="22" xfId="0" applyFont="1" applyBorder="1" applyAlignment="1">
      <alignment horizontal="center" vertical="center"/>
    </xf>
    <xf numFmtId="0" fontId="42" fillId="3" borderId="37" xfId="0" applyFont="1" applyFill="1" applyBorder="1" applyAlignment="1">
      <alignment horizontal="center" vertical="center"/>
    </xf>
    <xf numFmtId="0" fontId="31" fillId="4" borderId="0" xfId="0" applyFont="1" applyFill="1" applyAlignment="1">
      <alignment horizontal="center" vertical="center" wrapText="1"/>
    </xf>
    <xf numFmtId="170" fontId="7" fillId="0" borderId="0" xfId="0" applyNumberFormat="1" applyFont="1"/>
    <xf numFmtId="0" fontId="4" fillId="8" borderId="0" xfId="0" applyFont="1" applyFill="1" applyAlignment="1">
      <alignment wrapText="1"/>
    </xf>
    <xf numFmtId="0" fontId="4" fillId="8" borderId="0" xfId="0" applyFont="1" applyFill="1" applyAlignment="1">
      <alignment horizontal="center" wrapText="1"/>
    </xf>
    <xf numFmtId="3" fontId="42" fillId="8" borderId="20" xfId="0" applyNumberFormat="1" applyFont="1" applyFill="1" applyBorder="1" applyAlignment="1">
      <alignment horizontal="center" vertical="center"/>
    </xf>
    <xf numFmtId="0" fontId="34" fillId="8" borderId="10" xfId="0" applyFont="1" applyFill="1" applyBorder="1" applyAlignment="1">
      <alignment horizontal="center" vertical="center"/>
    </xf>
    <xf numFmtId="0" fontId="34" fillId="0" borderId="10" xfId="0" applyFont="1" applyBorder="1" applyAlignment="1">
      <alignment vertical="center"/>
    </xf>
    <xf numFmtId="0" fontId="19" fillId="0" borderId="0" xfId="0" applyFont="1" applyAlignment="1">
      <alignment wrapText="1"/>
    </xf>
    <xf numFmtId="0" fontId="39" fillId="0" borderId="0" xfId="0" applyFont="1" applyAlignment="1">
      <alignment horizontal="center" vertical="center"/>
    </xf>
    <xf numFmtId="4" fontId="39" fillId="0" borderId="0" xfId="0" applyNumberFormat="1" applyFont="1" applyAlignment="1">
      <alignment horizontal="center"/>
    </xf>
    <xf numFmtId="4" fontId="39" fillId="0" borderId="0" xfId="0" applyNumberFormat="1" applyFont="1" applyAlignment="1">
      <alignment horizontal="center" vertical="center"/>
    </xf>
    <xf numFmtId="4" fontId="39" fillId="0" borderId="20" xfId="0" applyNumberFormat="1" applyFont="1" applyBorder="1" applyAlignment="1">
      <alignment horizontal="center"/>
    </xf>
    <xf numFmtId="4" fontId="39" fillId="0" borderId="20" xfId="0" applyNumberFormat="1" applyFont="1" applyBorder="1" applyAlignment="1">
      <alignment horizontal="center" vertical="center"/>
    </xf>
    <xf numFmtId="10" fontId="39" fillId="0" borderId="10" xfId="0" applyNumberFormat="1" applyFont="1" applyBorder="1" applyAlignment="1">
      <alignment horizontal="center"/>
    </xf>
    <xf numFmtId="0" fontId="39" fillId="0" borderId="10" xfId="0" applyFont="1" applyBorder="1" applyAlignment="1">
      <alignment horizontal="center" vertical="center" wrapText="1"/>
    </xf>
    <xf numFmtId="0" fontId="37" fillId="0" borderId="10" xfId="0" applyFont="1" applyBorder="1" applyAlignment="1">
      <alignment horizontal="center" vertical="center"/>
    </xf>
    <xf numFmtId="10" fontId="37" fillId="0" borderId="10" xfId="0" applyNumberFormat="1" applyFont="1" applyBorder="1" applyAlignment="1">
      <alignment horizontal="center" vertical="center"/>
    </xf>
    <xf numFmtId="0" fontId="36" fillId="8" borderId="10" xfId="0" applyFont="1" applyFill="1" applyBorder="1" applyAlignment="1">
      <alignment horizontal="center" vertical="center" wrapText="1"/>
    </xf>
    <xf numFmtId="0" fontId="44" fillId="8" borderId="10" xfId="0" applyFont="1" applyFill="1" applyBorder="1" applyAlignment="1">
      <alignment horizontal="center" vertical="center" wrapText="1"/>
    </xf>
    <xf numFmtId="0" fontId="33" fillId="8" borderId="10" xfId="0" applyFont="1" applyFill="1" applyBorder="1" applyAlignment="1">
      <alignment horizontal="center" vertical="center" wrapText="1"/>
    </xf>
    <xf numFmtId="0" fontId="39" fillId="0" borderId="21" xfId="0" applyFont="1" applyBorder="1" applyAlignment="1">
      <alignment horizontal="center" vertical="center" wrapText="1"/>
    </xf>
    <xf numFmtId="0" fontId="34" fillId="0" borderId="27" xfId="0" applyFont="1" applyBorder="1" applyAlignment="1">
      <alignment horizontal="center" vertical="center" wrapText="1"/>
    </xf>
    <xf numFmtId="0" fontId="88" fillId="0" borderId="0" xfId="0" applyFont="1" applyAlignment="1">
      <alignment vertical="center"/>
    </xf>
    <xf numFmtId="4" fontId="94" fillId="0" borderId="0" xfId="0" applyNumberFormat="1" applyFont="1"/>
    <xf numFmtId="0" fontId="95" fillId="0" borderId="0" xfId="0" applyFont="1" applyAlignment="1">
      <alignment wrapText="1"/>
    </xf>
    <xf numFmtId="0" fontId="95" fillId="0" borderId="0" xfId="0" applyFont="1"/>
    <xf numFmtId="0" fontId="34" fillId="8" borderId="10" xfId="0" applyFont="1" applyFill="1" applyBorder="1" applyAlignment="1">
      <alignment vertical="center"/>
    </xf>
    <xf numFmtId="4" fontId="39" fillId="8" borderId="20" xfId="0" applyNumberFormat="1" applyFont="1" applyFill="1" applyBorder="1" applyAlignment="1">
      <alignment horizontal="center" vertical="center"/>
    </xf>
    <xf numFmtId="0" fontId="37" fillId="8" borderId="10" xfId="0" applyFont="1" applyFill="1" applyBorder="1" applyAlignment="1">
      <alignment horizontal="center" vertical="center"/>
    </xf>
    <xf numFmtId="10" fontId="37" fillId="8" borderId="10" xfId="0" applyNumberFormat="1" applyFont="1" applyFill="1" applyBorder="1" applyAlignment="1">
      <alignment horizontal="center" vertical="center"/>
    </xf>
    <xf numFmtId="4" fontId="39" fillId="8" borderId="0" xfId="0" applyNumberFormat="1" applyFont="1" applyFill="1" applyAlignment="1">
      <alignment horizontal="center" vertical="center"/>
    </xf>
    <xf numFmtId="0" fontId="74" fillId="8" borderId="0" xfId="0" applyFont="1" applyFill="1" applyAlignment="1">
      <alignment wrapText="1"/>
    </xf>
    <xf numFmtId="0" fontId="44" fillId="8" borderId="0" xfId="0" applyFont="1" applyFill="1" applyAlignment="1">
      <alignment wrapText="1"/>
    </xf>
    <xf numFmtId="0" fontId="34" fillId="8" borderId="0" xfId="0" applyFont="1" applyFill="1"/>
    <xf numFmtId="0" fontId="63" fillId="4" borderId="10" xfId="0" applyFont="1" applyFill="1" applyBorder="1" applyAlignment="1">
      <alignment horizontal="left" vertical="center" wrapText="1"/>
    </xf>
    <xf numFmtId="0" fontId="3" fillId="5" borderId="17" xfId="0" applyFont="1" applyFill="1" applyBorder="1" applyAlignment="1">
      <alignment wrapText="1"/>
    </xf>
    <xf numFmtId="0" fontId="3" fillId="5" borderId="16" xfId="0" applyFont="1" applyFill="1" applyBorder="1" applyAlignment="1">
      <alignment wrapText="1"/>
    </xf>
    <xf numFmtId="0" fontId="19" fillId="2" borderId="1" xfId="0" applyFont="1" applyFill="1" applyBorder="1" applyAlignment="1">
      <alignment horizontal="center" vertical="center" wrapText="1"/>
    </xf>
    <xf numFmtId="0" fontId="25" fillId="0" borderId="0" xfId="0" applyFont="1" applyAlignment="1">
      <alignment vertical="top" wrapText="1"/>
    </xf>
    <xf numFmtId="0" fontId="21" fillId="0" borderId="19" xfId="0" applyFont="1" applyBorder="1" applyAlignment="1">
      <alignment vertical="top" wrapText="1"/>
    </xf>
    <xf numFmtId="0" fontId="62" fillId="0" borderId="19" xfId="0" applyFont="1" applyBorder="1" applyAlignment="1">
      <alignment vertical="top" wrapText="1"/>
    </xf>
    <xf numFmtId="0" fontId="62" fillId="0" borderId="10" xfId="0" applyFont="1" applyBorder="1" applyAlignment="1">
      <alignment vertical="top" wrapText="1"/>
    </xf>
    <xf numFmtId="0" fontId="5" fillId="0" borderId="46" xfId="7" applyFont="1" applyBorder="1" applyAlignment="1">
      <alignment vertical="top" wrapText="1"/>
    </xf>
    <xf numFmtId="0" fontId="21" fillId="8" borderId="19" xfId="0" applyFont="1" applyFill="1" applyBorder="1" applyAlignment="1">
      <alignment vertical="top" wrapText="1"/>
    </xf>
    <xf numFmtId="0" fontId="4" fillId="0" borderId="10" xfId="0" applyFont="1" applyBorder="1" applyAlignment="1">
      <alignment vertical="top" wrapText="1"/>
    </xf>
    <xf numFmtId="0" fontId="5" fillId="8" borderId="19" xfId="0" applyFont="1" applyFill="1" applyBorder="1" applyAlignment="1">
      <alignment vertical="top" wrapText="1"/>
    </xf>
    <xf numFmtId="0" fontId="4" fillId="8" borderId="10" xfId="0" applyFont="1" applyFill="1" applyBorder="1" applyAlignment="1">
      <alignment vertical="top" wrapText="1"/>
    </xf>
    <xf numFmtId="0" fontId="21" fillId="8" borderId="10" xfId="0" applyFont="1" applyFill="1" applyBorder="1" applyAlignment="1">
      <alignment vertical="top" wrapText="1"/>
    </xf>
    <xf numFmtId="0" fontId="21" fillId="0" borderId="25" xfId="0" applyFont="1" applyBorder="1" applyAlignment="1">
      <alignment vertical="top" wrapText="1"/>
    </xf>
    <xf numFmtId="0" fontId="4" fillId="8" borderId="19" xfId="0" applyFont="1" applyFill="1" applyBorder="1" applyAlignment="1">
      <alignment vertical="top" wrapText="1"/>
    </xf>
    <xf numFmtId="0" fontId="21" fillId="0" borderId="20" xfId="0" applyFont="1" applyBorder="1" applyAlignment="1">
      <alignment vertical="top" wrapText="1"/>
    </xf>
    <xf numFmtId="0" fontId="0" fillId="0" borderId="0" xfId="0" applyAlignment="1">
      <alignment vertical="top"/>
    </xf>
    <xf numFmtId="0" fontId="21" fillId="0" borderId="46" xfId="0" applyFont="1" applyBorder="1" applyAlignment="1">
      <alignment vertical="top" wrapText="1"/>
    </xf>
    <xf numFmtId="0" fontId="21" fillId="0" borderId="10" xfId="0" applyFont="1" applyBorder="1" applyAlignment="1">
      <alignment horizontal="center" vertical="center"/>
    </xf>
    <xf numFmtId="0" fontId="21" fillId="0" borderId="19" xfId="0" applyFont="1" applyBorder="1" applyAlignment="1">
      <alignment horizontal="center" vertical="center" wrapText="1"/>
    </xf>
    <xf numFmtId="0" fontId="62" fillId="0" borderId="19" xfId="0" applyFont="1" applyBorder="1" applyAlignment="1">
      <alignment horizontal="center" vertical="center"/>
    </xf>
    <xf numFmtId="0" fontId="21" fillId="0" borderId="46" xfId="0" applyFont="1" applyBorder="1" applyAlignment="1">
      <alignment horizontal="center" vertical="center"/>
    </xf>
    <xf numFmtId="0" fontId="21" fillId="0" borderId="22" xfId="0" applyFont="1" applyBorder="1" applyAlignment="1">
      <alignment horizontal="center" vertical="center"/>
    </xf>
    <xf numFmtId="0" fontId="21" fillId="0" borderId="10" xfId="0" applyFont="1" applyBorder="1" applyAlignment="1">
      <alignment horizontal="center" vertical="center" wrapText="1"/>
    </xf>
    <xf numFmtId="0" fontId="21" fillId="8" borderId="10" xfId="0" applyFont="1" applyFill="1" applyBorder="1" applyAlignment="1">
      <alignment horizontal="center" vertical="center"/>
    </xf>
    <xf numFmtId="0" fontId="21" fillId="8" borderId="19" xfId="0" applyFont="1" applyFill="1" applyBorder="1" applyAlignment="1">
      <alignment horizontal="center" vertical="center"/>
    </xf>
    <xf numFmtId="0" fontId="21" fillId="0" borderId="46" xfId="0" applyFont="1" applyBorder="1" applyAlignment="1">
      <alignment horizontal="center" vertical="center" wrapText="1"/>
    </xf>
    <xf numFmtId="0" fontId="21" fillId="8" borderId="10" xfId="0" applyFont="1" applyFill="1" applyBorder="1" applyAlignment="1">
      <alignment horizontal="center" vertical="center" wrapText="1"/>
    </xf>
    <xf numFmtId="0" fontId="25" fillId="0" borderId="0" xfId="0" applyFont="1" applyAlignment="1">
      <alignment horizontal="left" vertical="center"/>
    </xf>
    <xf numFmtId="0" fontId="63" fillId="4" borderId="19" xfId="0" applyFont="1" applyFill="1" applyBorder="1" applyAlignment="1">
      <alignment horizontal="left" vertical="center" wrapText="1"/>
    </xf>
    <xf numFmtId="0" fontId="21" fillId="0" borderId="10" xfId="0" applyFont="1" applyBorder="1" applyAlignment="1">
      <alignment horizontal="left" vertical="center"/>
    </xf>
    <xf numFmtId="0" fontId="21" fillId="0" borderId="19" xfId="0" applyFont="1" applyBorder="1" applyAlignment="1">
      <alignment horizontal="left" vertical="center" wrapText="1"/>
    </xf>
    <xf numFmtId="0" fontId="21" fillId="8" borderId="19" xfId="0" applyFont="1" applyFill="1" applyBorder="1" applyAlignment="1">
      <alignment horizontal="left" vertical="center"/>
    </xf>
    <xf numFmtId="0" fontId="21" fillId="8" borderId="22" xfId="0" applyFont="1" applyFill="1" applyBorder="1" applyAlignment="1">
      <alignment horizontal="left" vertical="center"/>
    </xf>
    <xf numFmtId="0" fontId="21" fillId="0" borderId="19" xfId="0" applyFont="1" applyBorder="1" applyAlignment="1">
      <alignment horizontal="left" vertical="center"/>
    </xf>
    <xf numFmtId="0" fontId="21" fillId="0" borderId="46" xfId="0" applyFont="1" applyBorder="1" applyAlignment="1">
      <alignment horizontal="left" vertical="center"/>
    </xf>
    <xf numFmtId="0" fontId="21" fillId="0" borderId="10" xfId="0" applyFont="1" applyBorder="1" applyAlignment="1">
      <alignment horizontal="left" vertical="center" wrapText="1"/>
    </xf>
    <xf numFmtId="0" fontId="21" fillId="8" borderId="10" xfId="0" applyFont="1" applyFill="1" applyBorder="1" applyAlignment="1">
      <alignment horizontal="left" vertical="center"/>
    </xf>
    <xf numFmtId="0" fontId="21" fillId="0" borderId="46" xfId="0" applyFont="1" applyBorder="1" applyAlignment="1">
      <alignment horizontal="left" vertical="center" wrapText="1"/>
    </xf>
    <xf numFmtId="0" fontId="21" fillId="8" borderId="10" xfId="0" applyFont="1" applyFill="1" applyBorder="1" applyAlignment="1">
      <alignment horizontal="left" vertical="center" wrapText="1"/>
    </xf>
    <xf numFmtId="0" fontId="4" fillId="8" borderId="10" xfId="0" applyFont="1" applyFill="1" applyBorder="1" applyAlignment="1">
      <alignment horizontal="left" vertical="center"/>
    </xf>
    <xf numFmtId="0" fontId="0" fillId="0" borderId="0" xfId="0" applyAlignment="1">
      <alignment horizontal="left" vertical="center"/>
    </xf>
    <xf numFmtId="3" fontId="21" fillId="8" borderId="21" xfId="0" applyNumberFormat="1" applyFont="1" applyFill="1" applyBorder="1"/>
    <xf numFmtId="0" fontId="25" fillId="0" borderId="0" xfId="0" applyFont="1" applyAlignment="1">
      <alignment vertical="center" wrapText="1"/>
    </xf>
    <xf numFmtId="0" fontId="21" fillId="8" borderId="19" xfId="0" applyFont="1" applyFill="1" applyBorder="1" applyAlignment="1">
      <alignment horizontal="left" vertical="center" wrapText="1"/>
    </xf>
    <xf numFmtId="0" fontId="21" fillId="8" borderId="22" xfId="0" applyFont="1" applyFill="1" applyBorder="1" applyAlignment="1">
      <alignment vertical="top" wrapText="1"/>
    </xf>
    <xf numFmtId="0" fontId="33" fillId="0" borderId="0" xfId="0" applyFont="1" applyAlignment="1">
      <alignment horizontal="right"/>
    </xf>
    <xf numFmtId="0" fontId="65" fillId="0" borderId="0" xfId="0" applyFont="1" applyAlignment="1">
      <alignment vertical="center"/>
    </xf>
    <xf numFmtId="0" fontId="74" fillId="4" borderId="1" xfId="0" applyFont="1" applyFill="1" applyBorder="1" applyAlignment="1">
      <alignment horizontal="center" vertical="center" wrapText="1"/>
    </xf>
    <xf numFmtId="0" fontId="33" fillId="4" borderId="1" xfId="0" applyFont="1" applyFill="1" applyBorder="1" applyAlignment="1">
      <alignment horizontal="center"/>
    </xf>
    <xf numFmtId="0" fontId="33" fillId="0" borderId="0" xfId="0" applyFont="1" applyAlignment="1">
      <alignment vertical="center" wrapText="1"/>
    </xf>
    <xf numFmtId="0" fontId="44" fillId="0" borderId="1" xfId="0" applyFont="1" applyBorder="1" applyAlignment="1">
      <alignment vertical="center" wrapText="1"/>
    </xf>
    <xf numFmtId="3" fontId="74" fillId="0" borderId="1" xfId="0" applyNumberFormat="1" applyFont="1" applyBorder="1" applyAlignment="1">
      <alignment horizontal="center" vertical="center"/>
    </xf>
    <xf numFmtId="0" fontId="96" fillId="0" borderId="1" xfId="0" applyFont="1" applyBorder="1" applyAlignment="1">
      <alignment horizontal="center" vertical="center" wrapText="1"/>
    </xf>
    <xf numFmtId="0" fontId="74" fillId="4" borderId="1" xfId="0" applyFont="1" applyFill="1" applyBorder="1" applyAlignment="1">
      <alignment horizontal="center" vertical="center"/>
    </xf>
    <xf numFmtId="0" fontId="44" fillId="0" borderId="1" xfId="0" applyFont="1" applyBorder="1" applyAlignment="1">
      <alignment horizontal="center" vertical="center" wrapText="1"/>
    </xf>
    <xf numFmtId="0" fontId="97" fillId="0" borderId="1" xfId="0" applyFont="1" applyBorder="1" applyAlignment="1">
      <alignment vertical="center" wrapText="1"/>
    </xf>
    <xf numFmtId="2" fontId="33" fillId="0" borderId="0" xfId="0" applyNumberFormat="1" applyFont="1"/>
    <xf numFmtId="3" fontId="33" fillId="0" borderId="1" xfId="0" applyNumberFormat="1" applyFont="1" applyBorder="1"/>
    <xf numFmtId="0" fontId="65" fillId="0" borderId="0" xfId="0" applyFont="1" applyAlignment="1">
      <alignment horizontal="center" vertical="center" wrapText="1"/>
    </xf>
    <xf numFmtId="0" fontId="74" fillId="0" borderId="39" xfId="0" applyFont="1" applyBorder="1" applyAlignment="1">
      <alignment vertical="center" wrapText="1"/>
    </xf>
    <xf numFmtId="3" fontId="74" fillId="0" borderId="1" xfId="0" applyNumberFormat="1" applyFont="1" applyBorder="1" applyAlignment="1">
      <alignment horizontal="center" vertical="center" wrapText="1"/>
    </xf>
    <xf numFmtId="0" fontId="30" fillId="18" borderId="4" xfId="0" applyFont="1" applyFill="1" applyBorder="1" applyAlignment="1">
      <alignment vertical="center" wrapText="1"/>
    </xf>
    <xf numFmtId="3" fontId="27" fillId="18" borderId="4" xfId="0" applyNumberFormat="1" applyFont="1" applyFill="1" applyBorder="1" applyAlignment="1">
      <alignment vertical="center" wrapText="1"/>
    </xf>
    <xf numFmtId="0" fontId="30" fillId="18" borderId="4" xfId="0" applyFont="1" applyFill="1" applyBorder="1" applyAlignment="1">
      <alignment horizontal="center" vertical="center" wrapText="1"/>
    </xf>
    <xf numFmtId="0" fontId="63" fillId="4" borderId="29" xfId="0" applyFont="1" applyFill="1" applyBorder="1" applyAlignment="1">
      <alignment horizontal="center" vertical="center" wrapText="1"/>
    </xf>
    <xf numFmtId="3" fontId="64" fillId="4" borderId="19" xfId="0" applyNumberFormat="1" applyFont="1" applyFill="1" applyBorder="1" applyAlignment="1">
      <alignment horizontal="center" vertical="center" wrapText="1"/>
    </xf>
    <xf numFmtId="3" fontId="64" fillId="4" borderId="1" xfId="0" applyNumberFormat="1" applyFont="1" applyFill="1" applyBorder="1" applyAlignment="1">
      <alignment horizontal="center" vertical="center" wrapText="1"/>
    </xf>
    <xf numFmtId="0" fontId="27" fillId="4" borderId="1" xfId="0" applyFont="1" applyFill="1" applyBorder="1" applyAlignment="1">
      <alignment horizontal="center" vertical="center" wrapText="1"/>
    </xf>
    <xf numFmtId="3" fontId="27" fillId="17" borderId="4" xfId="0" applyNumberFormat="1" applyFont="1" applyFill="1" applyBorder="1" applyAlignment="1">
      <alignment vertical="center" wrapText="1"/>
    </xf>
    <xf numFmtId="0" fontId="25" fillId="0" borderId="0" xfId="0" applyFont="1" applyAlignment="1">
      <alignment horizontal="center" vertical="center" wrapText="1"/>
    </xf>
    <xf numFmtId="0" fontId="18" fillId="17" borderId="19" xfId="0" applyFont="1" applyFill="1" applyBorder="1" applyAlignment="1">
      <alignment horizontal="center" vertical="center" wrapText="1"/>
    </xf>
    <xf numFmtId="0" fontId="62" fillId="0" borderId="19" xfId="0" applyFont="1" applyBorder="1" applyAlignment="1">
      <alignment horizontal="center" vertical="center" wrapText="1"/>
    </xf>
    <xf numFmtId="0" fontId="21" fillId="0" borderId="10" xfId="0" applyFont="1" applyBorder="1" applyAlignment="1">
      <alignment vertical="center" wrapText="1"/>
    </xf>
    <xf numFmtId="0" fontId="21" fillId="0" borderId="19" xfId="0" applyFont="1" applyBorder="1" applyAlignment="1">
      <alignment vertical="center" wrapText="1"/>
    </xf>
    <xf numFmtId="0" fontId="4" fillId="8" borderId="10" xfId="0" applyFont="1" applyFill="1" applyBorder="1" applyAlignment="1">
      <alignment horizontal="center" vertical="center" wrapText="1"/>
    </xf>
    <xf numFmtId="0" fontId="4" fillId="8" borderId="19" xfId="0" applyFont="1" applyFill="1" applyBorder="1" applyAlignment="1">
      <alignment horizontal="center" vertical="center" wrapText="1"/>
    </xf>
    <xf numFmtId="0" fontId="21" fillId="0" borderId="20" xfId="0" applyFont="1" applyBorder="1" applyAlignment="1">
      <alignment horizontal="center" vertical="center"/>
    </xf>
    <xf numFmtId="0" fontId="18" fillId="17" borderId="19" xfId="0" applyFont="1" applyFill="1" applyBorder="1" applyAlignment="1">
      <alignment vertical="center" wrapText="1"/>
    </xf>
    <xf numFmtId="0" fontId="62" fillId="0" borderId="19" xfId="0" applyFont="1" applyBorder="1" applyAlignment="1">
      <alignment vertical="center" wrapText="1"/>
    </xf>
    <xf numFmtId="0" fontId="62" fillId="0" borderId="22" xfId="0" applyFont="1" applyBorder="1" applyAlignment="1">
      <alignment vertical="center" wrapText="1"/>
    </xf>
    <xf numFmtId="0" fontId="21" fillId="0" borderId="19" xfId="0" applyFont="1" applyBorder="1" applyAlignment="1">
      <alignment vertical="center"/>
    </xf>
    <xf numFmtId="0" fontId="62" fillId="0" borderId="10" xfId="0" applyFont="1" applyBorder="1" applyAlignment="1">
      <alignment vertical="center" wrapText="1"/>
    </xf>
    <xf numFmtId="0" fontId="62" fillId="0" borderId="25" xfId="0" applyFont="1" applyBorder="1" applyAlignment="1">
      <alignment vertical="center"/>
    </xf>
    <xf numFmtId="0" fontId="5" fillId="0" borderId="19" xfId="0" applyFont="1" applyBorder="1" applyAlignment="1">
      <alignment vertical="center" wrapText="1"/>
    </xf>
    <xf numFmtId="0" fontId="21" fillId="0" borderId="10" xfId="0" applyFont="1" applyBorder="1" applyAlignment="1">
      <alignment vertical="center"/>
    </xf>
    <xf numFmtId="0" fontId="21" fillId="0" borderId="46" xfId="0" applyFont="1" applyBorder="1" applyAlignment="1">
      <alignment vertical="center"/>
    </xf>
    <xf numFmtId="0" fontId="21" fillId="0" borderId="22" xfId="0" applyFont="1" applyBorder="1" applyAlignment="1">
      <alignment vertical="center" wrapText="1"/>
    </xf>
    <xf numFmtId="0" fontId="76" fillId="0" borderId="25" xfId="0" applyFont="1" applyBorder="1" applyAlignment="1">
      <alignment horizontal="center" vertical="center" wrapText="1"/>
    </xf>
    <xf numFmtId="0" fontId="21" fillId="0" borderId="20" xfId="0" applyFont="1" applyBorder="1" applyAlignment="1">
      <alignment vertical="center"/>
    </xf>
    <xf numFmtId="0" fontId="21" fillId="8" borderId="10" xfId="0" applyFont="1" applyFill="1" applyBorder="1" applyAlignment="1">
      <alignment vertical="center" wrapText="1"/>
    </xf>
    <xf numFmtId="0" fontId="70" fillId="0" borderId="19" xfId="7" applyFont="1" applyBorder="1" applyAlignment="1">
      <alignment horizontal="center" vertical="center"/>
    </xf>
    <xf numFmtId="0" fontId="5" fillId="0" borderId="19" xfId="7" applyFont="1" applyBorder="1" applyAlignment="1">
      <alignment horizontal="center" vertical="center" wrapText="1"/>
    </xf>
    <xf numFmtId="0" fontId="73" fillId="0" borderId="19" xfId="7" applyFont="1" applyBorder="1" applyAlignment="1">
      <alignment horizontal="center" vertical="center" wrapText="1"/>
    </xf>
    <xf numFmtId="0" fontId="76" fillId="8" borderId="10" xfId="0" applyFont="1" applyFill="1" applyBorder="1" applyAlignment="1">
      <alignment horizontal="center" vertical="center"/>
    </xf>
    <xf numFmtId="0" fontId="62" fillId="0" borderId="10" xfId="0" applyFont="1" applyBorder="1" applyAlignment="1">
      <alignment horizontal="center" vertical="center"/>
    </xf>
    <xf numFmtId="0" fontId="62" fillId="0" borderId="10" xfId="0" applyFont="1" applyBorder="1" applyAlignment="1">
      <alignment horizontal="center" vertical="center" wrapText="1"/>
    </xf>
    <xf numFmtId="0" fontId="76" fillId="0" borderId="10" xfId="0" applyFont="1" applyBorder="1" applyAlignment="1">
      <alignment horizontal="center" vertical="center"/>
    </xf>
    <xf numFmtId="0" fontId="21" fillId="8" borderId="20" xfId="0" applyFont="1" applyFill="1" applyBorder="1" applyAlignment="1">
      <alignment horizontal="center" vertical="center" wrapText="1"/>
    </xf>
    <xf numFmtId="0" fontId="62" fillId="8" borderId="21" xfId="0" applyFont="1" applyFill="1" applyBorder="1" applyAlignment="1">
      <alignment vertical="center" wrapText="1"/>
    </xf>
    <xf numFmtId="3" fontId="75" fillId="19" borderId="22" xfId="0" applyNumberFormat="1" applyFont="1" applyFill="1" applyBorder="1"/>
    <xf numFmtId="0" fontId="0" fillId="19" borderId="30" xfId="0" applyFill="1" applyBorder="1" applyAlignment="1">
      <alignment vertical="center"/>
    </xf>
    <xf numFmtId="0" fontId="0" fillId="19" borderId="28" xfId="0" applyFill="1" applyBorder="1" applyAlignment="1">
      <alignment horizontal="center" vertical="center"/>
    </xf>
    <xf numFmtId="0" fontId="76" fillId="19" borderId="1" xfId="0" applyFont="1" applyFill="1" applyBorder="1" applyAlignment="1">
      <alignment vertical="center" wrapText="1"/>
    </xf>
    <xf numFmtId="3" fontId="75" fillId="20" borderId="10" xfId="0" applyNumberFormat="1" applyFont="1" applyFill="1" applyBorder="1"/>
    <xf numFmtId="0" fontId="0" fillId="20" borderId="10" xfId="0" applyFill="1" applyBorder="1" applyAlignment="1">
      <alignment vertical="center"/>
    </xf>
    <xf numFmtId="0" fontId="62" fillId="0" borderId="46" xfId="0" applyFont="1" applyBorder="1" applyAlignment="1">
      <alignment horizontal="left" vertical="center"/>
    </xf>
    <xf numFmtId="0" fontId="21" fillId="0" borderId="46" xfId="0" applyFont="1" applyBorder="1" applyAlignment="1">
      <alignment vertical="center" wrapText="1"/>
    </xf>
    <xf numFmtId="0" fontId="5" fillId="8" borderId="19" xfId="0" applyFont="1" applyFill="1" applyBorder="1" applyAlignment="1">
      <alignment vertical="center" wrapText="1"/>
    </xf>
    <xf numFmtId="0" fontId="21" fillId="0" borderId="22" xfId="0" applyFont="1" applyBorder="1" applyAlignment="1">
      <alignment horizontal="left" vertical="center" wrapText="1"/>
    </xf>
    <xf numFmtId="0" fontId="21" fillId="8" borderId="19" xfId="0" applyFont="1" applyFill="1" applyBorder="1" applyAlignment="1">
      <alignment vertical="center" wrapText="1"/>
    </xf>
    <xf numFmtId="0" fontId="62" fillId="0" borderId="21" xfId="0" applyFont="1" applyBorder="1" applyAlignment="1">
      <alignment vertical="center" wrapText="1"/>
    </xf>
    <xf numFmtId="0" fontId="62" fillId="0" borderId="26" xfId="0" applyFont="1" applyBorder="1" applyAlignment="1">
      <alignment vertical="center" wrapText="1"/>
    </xf>
    <xf numFmtId="0" fontId="21" fillId="0" borderId="26" xfId="0" applyFont="1" applyBorder="1" applyAlignment="1">
      <alignment vertical="center" wrapText="1"/>
    </xf>
    <xf numFmtId="167" fontId="34" fillId="8" borderId="1" xfId="0" applyNumberFormat="1" applyFont="1" applyFill="1" applyBorder="1" applyAlignment="1">
      <alignment horizontal="center" vertical="center"/>
    </xf>
    <xf numFmtId="3" fontId="58" fillId="0" borderId="1" xfId="0" applyNumberFormat="1" applyFont="1" applyBorder="1" applyAlignment="1">
      <alignment horizontal="center" vertical="center"/>
    </xf>
    <xf numFmtId="167" fontId="34" fillId="0" borderId="1" xfId="0" applyNumberFormat="1" applyFont="1" applyBorder="1" applyAlignment="1">
      <alignment horizontal="center" vertical="center"/>
    </xf>
    <xf numFmtId="0" fontId="41" fillId="0" borderId="0" xfId="0" applyFont="1"/>
    <xf numFmtId="0" fontId="40" fillId="4" borderId="10" xfId="0" applyFont="1" applyFill="1" applyBorder="1" applyAlignment="1">
      <alignment horizontal="center" vertical="center"/>
    </xf>
    <xf numFmtId="0" fontId="40" fillId="4" borderId="10" xfId="0" applyFont="1" applyFill="1" applyBorder="1" applyAlignment="1">
      <alignment horizontal="center" vertical="center" wrapText="1"/>
    </xf>
    <xf numFmtId="164" fontId="40" fillId="0" borderId="10" xfId="0" applyNumberFormat="1" applyFont="1" applyBorder="1"/>
    <xf numFmtId="0" fontId="40" fillId="4" borderId="1" xfId="0" applyFont="1" applyFill="1" applyBorder="1" applyAlignment="1">
      <alignment vertical="center"/>
    </xf>
    <xf numFmtId="165" fontId="40" fillId="8" borderId="1" xfId="1" applyNumberFormat="1" applyFont="1" applyFill="1" applyBorder="1"/>
    <xf numFmtId="43" fontId="40" fillId="0" borderId="31" xfId="1" applyFont="1" applyBorder="1"/>
    <xf numFmtId="43" fontId="40" fillId="0" borderId="1" xfId="1" applyFont="1" applyBorder="1"/>
    <xf numFmtId="0" fontId="40" fillId="4" borderId="1" xfId="0" applyFont="1" applyFill="1" applyBorder="1" applyAlignment="1">
      <alignment horizontal="center" vertical="center" wrapText="1"/>
    </xf>
    <xf numFmtId="0" fontId="29" fillId="0" borderId="0" xfId="0" applyFont="1"/>
    <xf numFmtId="0" fontId="27" fillId="0" borderId="0" xfId="0" applyFont="1"/>
    <xf numFmtId="3" fontId="3" fillId="0" borderId="1" xfId="0" applyNumberFormat="1" applyFont="1" applyBorder="1" applyAlignment="1">
      <alignment wrapText="1"/>
    </xf>
    <xf numFmtId="3" fontId="3" fillId="0" borderId="13" xfId="0" applyNumberFormat="1" applyFont="1" applyBorder="1" applyAlignment="1">
      <alignment wrapText="1"/>
    </xf>
    <xf numFmtId="3" fontId="13" fillId="3" borderId="13" xfId="0" applyNumberFormat="1" applyFont="1" applyFill="1" applyBorder="1" applyAlignment="1">
      <alignment wrapText="1"/>
    </xf>
    <xf numFmtId="3" fontId="13" fillId="3" borderId="1" xfId="0" applyNumberFormat="1" applyFont="1" applyFill="1" applyBorder="1" applyAlignment="1">
      <alignment wrapText="1"/>
    </xf>
    <xf numFmtId="0" fontId="3" fillId="4" borderId="1" xfId="0" applyFont="1" applyFill="1" applyBorder="1" applyAlignment="1">
      <alignment horizontal="center" vertical="center" wrapText="1"/>
    </xf>
    <xf numFmtId="0" fontId="3" fillId="4" borderId="4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75" fillId="0" borderId="0" xfId="2" applyFont="1"/>
    <xf numFmtId="0" fontId="14" fillId="8" borderId="0" xfId="2" applyFont="1" applyFill="1" applyAlignment="1">
      <alignment horizontal="center" vertical="center" wrapText="1"/>
    </xf>
    <xf numFmtId="2" fontId="14" fillId="8" borderId="0" xfId="2" applyNumberFormat="1" applyFont="1" applyFill="1" applyAlignment="1">
      <alignment horizontal="center" vertical="center" wrapText="1"/>
    </xf>
    <xf numFmtId="3" fontId="14" fillId="0" borderId="1" xfId="2" applyNumberFormat="1" applyFont="1" applyBorder="1" applyAlignment="1">
      <alignment horizontal="center" vertical="center" wrapText="1"/>
    </xf>
    <xf numFmtId="0" fontId="27" fillId="0" borderId="0" xfId="0" applyFont="1" applyAlignment="1">
      <alignment vertical="center"/>
    </xf>
    <xf numFmtId="0" fontId="21" fillId="0" borderId="22" xfId="0" applyFont="1" applyBorder="1" applyAlignment="1">
      <alignment vertical="center"/>
    </xf>
    <xf numFmtId="0" fontId="21" fillId="0" borderId="25" xfId="0" applyFont="1" applyBorder="1" applyAlignment="1">
      <alignment horizontal="center" vertical="center"/>
    </xf>
    <xf numFmtId="0" fontId="62" fillId="0" borderId="27" xfId="0" applyFont="1" applyBorder="1" applyAlignment="1">
      <alignment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98" fillId="0" borderId="0" xfId="0" applyFont="1"/>
    <xf numFmtId="0" fontId="40" fillId="0" borderId="22" xfId="0" applyFont="1" applyBorder="1"/>
    <xf numFmtId="0" fontId="40" fillId="4" borderId="1" xfId="0" applyFont="1" applyFill="1" applyBorder="1"/>
    <xf numFmtId="0" fontId="38" fillId="8" borderId="1" xfId="9" applyFont="1" applyFill="1" applyBorder="1" applyAlignment="1">
      <alignment horizontal="right" vertical="center" wrapText="1"/>
    </xf>
    <xf numFmtId="165" fontId="43" fillId="8" borderId="1" xfId="8" applyNumberFormat="1" applyFont="1" applyFill="1" applyBorder="1" applyAlignment="1">
      <alignment horizontal="center" vertical="center"/>
    </xf>
    <xf numFmtId="43" fontId="65" fillId="8" borderId="1" xfId="8" applyFont="1" applyFill="1" applyBorder="1" applyAlignment="1">
      <alignment vertical="center"/>
    </xf>
    <xf numFmtId="165" fontId="43" fillId="8" borderId="1" xfId="9" applyNumberFormat="1" applyFont="1" applyFill="1" applyBorder="1" applyAlignment="1">
      <alignment horizontal="center" vertical="center"/>
    </xf>
    <xf numFmtId="165" fontId="38" fillId="8" borderId="1" xfId="9" applyNumberFormat="1" applyFont="1" applyFill="1" applyBorder="1" applyAlignment="1">
      <alignment vertical="center"/>
    </xf>
    <xf numFmtId="165" fontId="44" fillId="8" borderId="1" xfId="8" applyNumberFormat="1" applyFont="1" applyFill="1" applyBorder="1" applyAlignment="1">
      <alignment horizontal="center" vertical="center"/>
    </xf>
    <xf numFmtId="0" fontId="37" fillId="8" borderId="1" xfId="9" applyFont="1" applyFill="1" applyBorder="1" applyAlignment="1">
      <alignment horizontal="right" vertical="center" wrapText="1"/>
    </xf>
    <xf numFmtId="0" fontId="33" fillId="8" borderId="1" xfId="9" applyFont="1" applyFill="1" applyBorder="1" applyAlignment="1">
      <alignment horizontal="center" vertical="center" wrapText="1"/>
    </xf>
    <xf numFmtId="165" fontId="38" fillId="8" borderId="1" xfId="9" applyNumberFormat="1" applyFont="1" applyFill="1" applyBorder="1" applyAlignment="1">
      <alignment horizontal="center" vertical="center"/>
    </xf>
    <xf numFmtId="0" fontId="38" fillId="8" borderId="39" xfId="9" applyFont="1" applyFill="1" applyBorder="1" applyAlignment="1">
      <alignment horizontal="right" vertical="center" wrapText="1"/>
    </xf>
    <xf numFmtId="165" fontId="37" fillId="8" borderId="1" xfId="9" applyNumberFormat="1" applyFont="1" applyFill="1" applyBorder="1" applyAlignment="1">
      <alignment horizontal="center" vertical="center" wrapText="1"/>
    </xf>
    <xf numFmtId="0" fontId="44" fillId="8" borderId="0" xfId="9" applyFont="1" applyFill="1" applyAlignment="1">
      <alignment horizontal="center" vertical="center"/>
    </xf>
    <xf numFmtId="0" fontId="45" fillId="8" borderId="0" xfId="9" applyFont="1" applyFill="1" applyAlignment="1">
      <alignment horizontal="right" vertical="center"/>
    </xf>
    <xf numFmtId="0" fontId="33" fillId="8" borderId="10" xfId="9" applyFont="1" applyFill="1" applyBorder="1"/>
    <xf numFmtId="0" fontId="33" fillId="8" borderId="10" xfId="9" applyFont="1" applyFill="1" applyBorder="1" applyAlignment="1">
      <alignment horizontal="center"/>
    </xf>
    <xf numFmtId="0" fontId="33" fillId="8" borderId="0" xfId="9" applyFont="1" applyFill="1" applyAlignment="1">
      <alignment horizontal="center"/>
    </xf>
    <xf numFmtId="0" fontId="43" fillId="8" borderId="0" xfId="9" applyFont="1" applyFill="1"/>
    <xf numFmtId="0" fontId="33" fillId="8" borderId="0" xfId="9" applyFont="1" applyFill="1"/>
    <xf numFmtId="0" fontId="37" fillId="8" borderId="0" xfId="9" applyFont="1" applyFill="1"/>
    <xf numFmtId="0" fontId="37" fillId="8" borderId="0" xfId="9" applyFont="1" applyFill="1" applyAlignment="1">
      <alignment horizontal="center"/>
    </xf>
    <xf numFmtId="0" fontId="33" fillId="8" borderId="0" xfId="9" applyFont="1" applyFill="1" applyAlignment="1">
      <alignment horizontal="right"/>
    </xf>
    <xf numFmtId="0" fontId="33" fillId="8" borderId="1" xfId="9" applyFont="1" applyFill="1" applyBorder="1"/>
    <xf numFmtId="167" fontId="33" fillId="8" borderId="1" xfId="9" applyNumberFormat="1" applyFont="1" applyFill="1" applyBorder="1"/>
    <xf numFmtId="165" fontId="33" fillId="8" borderId="1" xfId="9" applyNumberFormat="1" applyFont="1" applyFill="1" applyBorder="1"/>
    <xf numFmtId="0" fontId="37" fillId="8" borderId="31" xfId="9" applyFont="1" applyFill="1" applyBorder="1"/>
    <xf numFmtId="0" fontId="37" fillId="8" borderId="1" xfId="9" applyFont="1" applyFill="1" applyBorder="1"/>
    <xf numFmtId="164" fontId="37" fillId="8" borderId="1" xfId="9" applyNumberFormat="1" applyFont="1" applyFill="1" applyBorder="1"/>
    <xf numFmtId="0" fontId="33" fillId="8" borderId="0" xfId="9" applyFont="1" applyFill="1" applyAlignment="1">
      <alignment vertical="center" wrapText="1"/>
    </xf>
    <xf numFmtId="0" fontId="33" fillId="8" borderId="0" xfId="9" applyFont="1" applyFill="1" applyAlignment="1">
      <alignment vertical="center"/>
    </xf>
    <xf numFmtId="169" fontId="37" fillId="8" borderId="1" xfId="9" applyNumberFormat="1" applyFont="1" applyFill="1" applyBorder="1" applyAlignment="1">
      <alignment horizontal="right" vertical="center" wrapText="1"/>
    </xf>
    <xf numFmtId="0" fontId="45" fillId="8" borderId="0" xfId="9" applyFont="1" applyFill="1" applyAlignment="1">
      <alignment vertical="center"/>
    </xf>
    <xf numFmtId="3" fontId="21" fillId="0" borderId="46" xfId="0" applyNumberFormat="1" applyFont="1" applyBorder="1"/>
    <xf numFmtId="0" fontId="76" fillId="0" borderId="1" xfId="0" applyFont="1" applyBorder="1" applyAlignment="1">
      <alignment horizontal="left" vertical="center" wrapText="1"/>
    </xf>
    <xf numFmtId="0" fontId="76" fillId="0" borderId="31" xfId="0" applyFont="1" applyBorder="1" applyAlignment="1">
      <alignment horizontal="left" vertical="center" wrapText="1"/>
    </xf>
    <xf numFmtId="0" fontId="100" fillId="0" borderId="0" xfId="0" applyFont="1" applyAlignment="1">
      <alignment vertical="center" wrapText="1"/>
    </xf>
    <xf numFmtId="0" fontId="102" fillId="12" borderId="19" xfId="0" applyFont="1" applyFill="1" applyBorder="1" applyAlignment="1">
      <alignment horizontal="center" vertical="center" wrapText="1"/>
    </xf>
    <xf numFmtId="0" fontId="101" fillId="4" borderId="10" xfId="0" applyFont="1" applyFill="1" applyBorder="1" applyAlignment="1">
      <alignment horizontal="center" vertical="center" wrapText="1"/>
    </xf>
    <xf numFmtId="0" fontId="101" fillId="4" borderId="10" xfId="0" applyFont="1" applyFill="1" applyBorder="1" applyAlignment="1">
      <alignment horizontal="left" vertical="center" wrapText="1"/>
    </xf>
    <xf numFmtId="0" fontId="101" fillId="4" borderId="19" xfId="0" applyFont="1" applyFill="1" applyBorder="1" applyAlignment="1">
      <alignment horizontal="left" vertical="center" wrapText="1"/>
    </xf>
    <xf numFmtId="0" fontId="103" fillId="18" borderId="1" xfId="0" applyFont="1" applyFill="1" applyBorder="1" applyAlignment="1">
      <alignment vertical="center" wrapText="1"/>
    </xf>
    <xf numFmtId="0" fontId="104" fillId="17" borderId="46" xfId="0" applyFont="1" applyFill="1" applyBorder="1" applyAlignment="1">
      <alignment vertical="center" wrapText="1"/>
    </xf>
    <xf numFmtId="0" fontId="4" fillId="0" borderId="10" xfId="0" applyFont="1" applyBorder="1" applyAlignment="1">
      <alignment horizontal="left" vertical="center" wrapText="1"/>
    </xf>
    <xf numFmtId="0" fontId="4" fillId="0" borderId="19" xfId="0" applyFont="1" applyBorder="1" applyAlignment="1">
      <alignment horizontal="left" vertical="center" wrapText="1"/>
    </xf>
    <xf numFmtId="0" fontId="4" fillId="8" borderId="1" xfId="0" applyFont="1" applyFill="1" applyBorder="1" applyAlignment="1">
      <alignment horizontal="left" vertical="center" wrapText="1"/>
    </xf>
    <xf numFmtId="0" fontId="106" fillId="19" borderId="22" xfId="0" applyFont="1" applyFill="1" applyBorder="1" applyAlignment="1">
      <alignment horizontal="left" vertical="center"/>
    </xf>
    <xf numFmtId="0" fontId="106" fillId="20" borderId="10" xfId="0" applyFont="1" applyFill="1" applyBorder="1" applyAlignment="1">
      <alignment horizontal="left" vertical="center"/>
    </xf>
    <xf numFmtId="0" fontId="106" fillId="0" borderId="19" xfId="0" applyFont="1" applyBorder="1" applyAlignment="1">
      <alignment horizontal="left" vertical="center"/>
    </xf>
    <xf numFmtId="0" fontId="20" fillId="8" borderId="25" xfId="0" applyFont="1" applyFill="1" applyBorder="1" applyAlignment="1">
      <alignment horizontal="left" vertical="center" wrapText="1"/>
    </xf>
    <xf numFmtId="0" fontId="4" fillId="8" borderId="26" xfId="0" applyFont="1" applyFill="1" applyBorder="1" applyAlignment="1">
      <alignment horizontal="left" vertical="center" wrapText="1"/>
    </xf>
    <xf numFmtId="0" fontId="106" fillId="0" borderId="0" xfId="0" applyFont="1" applyAlignment="1">
      <alignment vertical="center"/>
    </xf>
    <xf numFmtId="0" fontId="4" fillId="0" borderId="21" xfId="0" applyFont="1" applyBorder="1" applyAlignment="1">
      <alignment horizontal="left" vertical="center" wrapText="1"/>
    </xf>
    <xf numFmtId="0" fontId="0" fillId="20" borderId="46" xfId="0" applyFill="1" applyBorder="1" applyAlignment="1">
      <alignment horizontal="center" vertical="center"/>
    </xf>
    <xf numFmtId="3" fontId="75" fillId="8" borderId="22" xfId="0" applyNumberFormat="1" applyFont="1" applyFill="1" applyBorder="1"/>
    <xf numFmtId="3" fontId="75" fillId="8" borderId="28" xfId="0" applyNumberFormat="1" applyFont="1" applyFill="1" applyBorder="1"/>
    <xf numFmtId="0" fontId="0" fillId="20" borderId="26" xfId="0" applyFill="1" applyBorder="1" applyAlignment="1">
      <alignment vertical="center"/>
    </xf>
    <xf numFmtId="0" fontId="76" fillId="0" borderId="1" xfId="0" applyFont="1" applyBorder="1" applyAlignment="1">
      <alignment horizontal="left" vertical="center"/>
    </xf>
    <xf numFmtId="0" fontId="0" fillId="20" borderId="19" xfId="0" applyFill="1" applyBorder="1" applyAlignment="1">
      <alignment horizontal="center" vertical="center"/>
    </xf>
    <xf numFmtId="0" fontId="62" fillId="0" borderId="46" xfId="0" applyFont="1" applyBorder="1" applyAlignment="1">
      <alignment horizontal="center" vertical="center" wrapText="1"/>
    </xf>
    <xf numFmtId="0" fontId="62" fillId="0" borderId="1" xfId="0" applyFont="1" applyBorder="1" applyAlignment="1">
      <alignment horizontal="center" vertical="center" wrapText="1"/>
    </xf>
    <xf numFmtId="0" fontId="19" fillId="0" borderId="22" xfId="7" applyFont="1" applyBorder="1" applyAlignment="1">
      <alignment vertical="top" wrapText="1"/>
    </xf>
    <xf numFmtId="0" fontId="76" fillId="0" borderId="62" xfId="0" applyFont="1" applyBorder="1" applyAlignment="1">
      <alignment horizontal="center" vertical="center" wrapText="1"/>
    </xf>
    <xf numFmtId="0" fontId="21" fillId="0" borderId="22" xfId="0" applyFont="1" applyBorder="1" applyAlignment="1">
      <alignment vertical="top" wrapText="1"/>
    </xf>
    <xf numFmtId="0" fontId="21" fillId="0" borderId="1" xfId="0" applyFont="1" applyBorder="1" applyAlignment="1">
      <alignment horizontal="left" vertical="center"/>
    </xf>
    <xf numFmtId="0" fontId="29" fillId="0" borderId="0" xfId="9" applyFont="1"/>
    <xf numFmtId="0" fontId="21" fillId="8" borderId="19" xfId="0" applyFont="1" applyFill="1" applyBorder="1" applyAlignment="1">
      <alignment horizontal="center" vertical="center" wrapText="1"/>
    </xf>
    <xf numFmtId="0" fontId="21" fillId="8" borderId="20" xfId="0" applyFont="1" applyFill="1" applyBorder="1" applyAlignment="1">
      <alignment vertical="center" wrapText="1"/>
    </xf>
    <xf numFmtId="0" fontId="20" fillId="8" borderId="10" xfId="0" applyFont="1" applyFill="1" applyBorder="1" applyAlignment="1">
      <alignment horizontal="left" vertical="center" wrapText="1"/>
    </xf>
    <xf numFmtId="3" fontId="21" fillId="8" borderId="10" xfId="0" applyNumberFormat="1" applyFont="1" applyFill="1" applyBorder="1" applyAlignment="1">
      <alignment wrapText="1"/>
    </xf>
    <xf numFmtId="0" fontId="21" fillId="0" borderId="3" xfId="0" applyFont="1" applyBorder="1" applyAlignment="1">
      <alignment horizontal="center" vertical="center" wrapText="1"/>
    </xf>
    <xf numFmtId="0" fontId="21" fillId="8" borderId="1" xfId="0" applyFont="1" applyFill="1" applyBorder="1" applyAlignment="1">
      <alignment horizontal="center" vertical="center" wrapText="1"/>
    </xf>
    <xf numFmtId="0" fontId="21" fillId="8" borderId="1" xfId="0" applyFont="1" applyFill="1" applyBorder="1" applyAlignment="1">
      <alignment vertical="center" wrapText="1"/>
    </xf>
    <xf numFmtId="0" fontId="21" fillId="8" borderId="1" xfId="0" applyFont="1" applyFill="1" applyBorder="1" applyAlignment="1">
      <alignment vertical="top" wrapText="1"/>
    </xf>
    <xf numFmtId="0" fontId="20" fillId="8" borderId="1" xfId="0" applyFont="1" applyFill="1" applyBorder="1" applyAlignment="1">
      <alignment horizontal="left" vertical="center" wrapText="1"/>
    </xf>
    <xf numFmtId="3" fontId="21" fillId="8" borderId="1" xfId="0" applyNumberFormat="1" applyFont="1" applyFill="1" applyBorder="1" applyAlignment="1">
      <alignment wrapText="1"/>
    </xf>
    <xf numFmtId="0" fontId="62" fillId="8" borderId="1" xfId="0" applyFont="1" applyFill="1" applyBorder="1" applyAlignment="1">
      <alignment horizontal="center" vertical="center" wrapText="1"/>
    </xf>
    <xf numFmtId="0" fontId="76" fillId="0" borderId="4" xfId="0" applyFont="1" applyBorder="1" applyAlignment="1">
      <alignment horizontal="left" vertical="center" wrapText="1"/>
    </xf>
    <xf numFmtId="0" fontId="4" fillId="8" borderId="21" xfId="0" applyFont="1" applyFill="1" applyBorder="1" applyAlignment="1">
      <alignment horizontal="left" vertical="center" wrapText="1"/>
    </xf>
    <xf numFmtId="0" fontId="76" fillId="0" borderId="1" xfId="0" applyFont="1" applyBorder="1" applyAlignment="1">
      <alignment vertical="top" wrapText="1"/>
    </xf>
    <xf numFmtId="3" fontId="20" fillId="8" borderId="19" xfId="0" applyNumberFormat="1" applyFont="1" applyFill="1" applyBorder="1"/>
    <xf numFmtId="0" fontId="20" fillId="8" borderId="19" xfId="0" applyFont="1" applyFill="1" applyBorder="1" applyAlignment="1">
      <alignment horizontal="center" vertical="center"/>
    </xf>
    <xf numFmtId="0" fontId="20" fillId="8" borderId="0" xfId="0" applyFont="1" applyFill="1"/>
    <xf numFmtId="0" fontId="20" fillId="8" borderId="62" xfId="0" applyFont="1" applyFill="1" applyBorder="1" applyAlignment="1">
      <alignment horizontal="center" vertical="center" wrapText="1"/>
    </xf>
    <xf numFmtId="0" fontId="21" fillId="0" borderId="21" xfId="0" applyFont="1" applyBorder="1" applyAlignment="1">
      <alignment vertical="center"/>
    </xf>
    <xf numFmtId="0" fontId="21" fillId="8" borderId="22" xfId="0" applyFont="1" applyFill="1" applyBorder="1" applyAlignment="1">
      <alignment vertical="center" wrapText="1"/>
    </xf>
    <xf numFmtId="3" fontId="21" fillId="8" borderId="22" xfId="0" applyNumberFormat="1" applyFont="1" applyFill="1" applyBorder="1"/>
    <xf numFmtId="0" fontId="21" fillId="8" borderId="22" xfId="0" applyFont="1" applyFill="1" applyBorder="1" applyAlignment="1">
      <alignment horizontal="center" vertical="center"/>
    </xf>
    <xf numFmtId="3" fontId="15" fillId="8" borderId="19" xfId="0" applyNumberFormat="1" applyFont="1" applyFill="1" applyBorder="1"/>
    <xf numFmtId="0" fontId="55" fillId="8" borderId="0" xfId="0" applyFont="1" applyFill="1"/>
    <xf numFmtId="0" fontId="72" fillId="0" borderId="0" xfId="0" applyFont="1" applyAlignment="1">
      <alignment vertical="center"/>
    </xf>
    <xf numFmtId="0" fontId="2" fillId="0" borderId="0" xfId="0" applyFont="1" applyAlignment="1">
      <alignment vertical="center"/>
    </xf>
    <xf numFmtId="0" fontId="5" fillId="4" borderId="20" xfId="0" applyFont="1" applyFill="1" applyBorder="1" applyAlignment="1">
      <alignment horizontal="center" vertical="center" wrapText="1"/>
    </xf>
    <xf numFmtId="0" fontId="4" fillId="9" borderId="2" xfId="0" applyFont="1" applyFill="1" applyBorder="1" applyAlignment="1">
      <alignment wrapText="1"/>
    </xf>
    <xf numFmtId="0" fontId="3" fillId="3" borderId="24" xfId="0" applyFont="1" applyFill="1" applyBorder="1" applyAlignment="1">
      <alignment horizontal="center"/>
    </xf>
    <xf numFmtId="0" fontId="4" fillId="6" borderId="1" xfId="0" applyFont="1" applyFill="1" applyBorder="1" applyAlignment="1">
      <alignment wrapText="1"/>
    </xf>
    <xf numFmtId="0" fontId="5" fillId="4" borderId="28" xfId="0" applyFont="1" applyFill="1" applyBorder="1" applyAlignment="1">
      <alignment horizontal="center" vertical="center" wrapText="1"/>
    </xf>
    <xf numFmtId="0" fontId="5" fillId="6" borderId="53" xfId="0" applyFont="1" applyFill="1" applyBorder="1" applyAlignment="1">
      <alignment vertical="center" wrapText="1"/>
    </xf>
    <xf numFmtId="0" fontId="3" fillId="5" borderId="9" xfId="0" applyFont="1" applyFill="1" applyBorder="1" applyAlignment="1">
      <alignment horizontal="center" vertical="center" wrapText="1"/>
    </xf>
    <xf numFmtId="0" fontId="21" fillId="8" borderId="29" xfId="0" applyFont="1" applyFill="1" applyBorder="1" applyAlignment="1">
      <alignment vertical="center" wrapText="1"/>
    </xf>
    <xf numFmtId="0" fontId="29" fillId="0" borderId="0" xfId="0" applyFont="1" applyAlignment="1">
      <alignment vertical="center"/>
    </xf>
    <xf numFmtId="3" fontId="72" fillId="21" borderId="10" xfId="0" applyNumberFormat="1" applyFont="1" applyFill="1" applyBorder="1" applyAlignment="1">
      <alignment horizontal="center" vertical="center"/>
    </xf>
    <xf numFmtId="4" fontId="27" fillId="21" borderId="10" xfId="0" applyNumberFormat="1" applyFont="1" applyFill="1" applyBorder="1" applyAlignment="1">
      <alignment horizontal="right" vertical="center"/>
    </xf>
    <xf numFmtId="0" fontId="21" fillId="0" borderId="26" xfId="0" applyFont="1" applyBorder="1" applyAlignment="1">
      <alignment horizontal="center" vertical="center"/>
    </xf>
    <xf numFmtId="0" fontId="3" fillId="0" borderId="10" xfId="0" applyFont="1" applyBorder="1" applyAlignment="1">
      <alignment vertical="center" wrapText="1"/>
    </xf>
    <xf numFmtId="0" fontId="18" fillId="0" borderId="0" xfId="0" applyFont="1"/>
    <xf numFmtId="165" fontId="3" fillId="0" borderId="1" xfId="1" applyNumberFormat="1" applyFont="1" applyBorder="1" applyAlignment="1">
      <alignment vertical="center" wrapText="1"/>
    </xf>
    <xf numFmtId="0" fontId="76" fillId="8" borderId="10" xfId="0" applyFont="1" applyFill="1" applyBorder="1" applyAlignment="1">
      <alignment horizontal="center" vertical="center" wrapText="1"/>
    </xf>
    <xf numFmtId="0" fontId="68" fillId="8" borderId="0" xfId="0" applyFont="1" applyFill="1" applyAlignment="1">
      <alignment wrapText="1"/>
    </xf>
    <xf numFmtId="0" fontId="106" fillId="22" borderId="10" xfId="0" applyFont="1" applyFill="1" applyBorder="1" applyAlignment="1">
      <alignment horizontal="left" vertical="center"/>
    </xf>
    <xf numFmtId="3" fontId="75" fillId="22" borderId="10" xfId="0" applyNumberFormat="1" applyFont="1" applyFill="1" applyBorder="1"/>
    <xf numFmtId="0" fontId="0" fillId="22" borderId="19" xfId="0" applyFill="1" applyBorder="1" applyAlignment="1">
      <alignment vertical="center"/>
    </xf>
    <xf numFmtId="0" fontId="0" fillId="22" borderId="19" xfId="0" applyFill="1" applyBorder="1" applyAlignment="1">
      <alignment horizontal="center" vertical="center"/>
    </xf>
    <xf numFmtId="3" fontId="75" fillId="23" borderId="10" xfId="0" applyNumberFormat="1" applyFont="1" applyFill="1" applyBorder="1"/>
    <xf numFmtId="0" fontId="0" fillId="23" borderId="10" xfId="0" applyFill="1" applyBorder="1" applyAlignment="1">
      <alignment vertical="center"/>
    </xf>
    <xf numFmtId="0" fontId="0" fillId="23" borderId="10" xfId="0" applyFill="1" applyBorder="1" applyAlignment="1">
      <alignment horizontal="center" vertical="center"/>
    </xf>
    <xf numFmtId="0" fontId="4" fillId="8" borderId="22" xfId="0" applyFont="1" applyFill="1" applyBorder="1" applyAlignment="1">
      <alignment horizontal="left" vertical="center" wrapText="1"/>
    </xf>
    <xf numFmtId="0" fontId="4" fillId="8" borderId="25"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8" borderId="25" xfId="0" applyFont="1" applyFill="1" applyBorder="1" applyAlignment="1">
      <alignment horizontal="left" vertical="center" wrapText="1"/>
    </xf>
    <xf numFmtId="0" fontId="4" fillId="8" borderId="26" xfId="0" applyFont="1" applyFill="1" applyBorder="1" applyAlignment="1">
      <alignment vertical="top" wrapText="1"/>
    </xf>
    <xf numFmtId="0" fontId="4" fillId="8" borderId="46" xfId="0" applyFont="1" applyFill="1" applyBorder="1" applyAlignment="1">
      <alignment vertical="center" wrapText="1"/>
    </xf>
    <xf numFmtId="0" fontId="4" fillId="8" borderId="20" xfId="0" applyFont="1" applyFill="1" applyBorder="1" applyAlignment="1">
      <alignment horizontal="center" vertical="center" wrapText="1"/>
    </xf>
    <xf numFmtId="0" fontId="62" fillId="0" borderId="2" xfId="0" applyFont="1" applyBorder="1" applyAlignment="1">
      <alignment horizontal="center" vertical="center" wrapText="1"/>
    </xf>
    <xf numFmtId="0" fontId="0" fillId="22" borderId="46" xfId="0" applyFill="1" applyBorder="1" applyAlignment="1">
      <alignment horizontal="center" vertical="center"/>
    </xf>
    <xf numFmtId="0" fontId="76" fillId="0" borderId="1" xfId="0" applyFont="1" applyBorder="1" applyAlignment="1">
      <alignment horizontal="center" vertical="center" wrapText="1"/>
    </xf>
    <xf numFmtId="0" fontId="20" fillId="8" borderId="1" xfId="0" applyFont="1" applyFill="1" applyBorder="1" applyAlignment="1">
      <alignment horizontal="center" vertical="center" wrapText="1"/>
    </xf>
    <xf numFmtId="0" fontId="4" fillId="8" borderId="3" xfId="0" applyFont="1" applyFill="1" applyBorder="1" applyAlignment="1">
      <alignment horizontal="left" vertical="center" wrapText="1"/>
    </xf>
    <xf numFmtId="0" fontId="62" fillId="8" borderId="2" xfId="0" applyFont="1" applyFill="1" applyBorder="1" applyAlignment="1">
      <alignment horizontal="center" vertical="center" wrapText="1"/>
    </xf>
    <xf numFmtId="0" fontId="21" fillId="8" borderId="25" xfId="0" applyFont="1" applyFill="1" applyBorder="1" applyAlignment="1">
      <alignment vertical="center"/>
    </xf>
    <xf numFmtId="0" fontId="34" fillId="0" borderId="1" xfId="0" applyFont="1" applyBorder="1" applyAlignment="1">
      <alignment wrapText="1"/>
    </xf>
    <xf numFmtId="0" fontId="65" fillId="0" borderId="40" xfId="0" applyFont="1" applyBorder="1" applyAlignment="1">
      <alignment vertical="center" wrapText="1"/>
    </xf>
    <xf numFmtId="0" fontId="21" fillId="0" borderId="20" xfId="0" applyFont="1" applyBorder="1" applyAlignment="1">
      <alignment horizontal="center" vertical="center" wrapText="1"/>
    </xf>
    <xf numFmtId="0" fontId="21" fillId="0" borderId="27" xfId="0" applyFont="1" applyBorder="1" applyAlignment="1">
      <alignment vertical="center"/>
    </xf>
    <xf numFmtId="0" fontId="106" fillId="24" borderId="26" xfId="0" applyFont="1" applyFill="1" applyBorder="1" applyAlignment="1">
      <alignment horizontal="left" vertical="center"/>
    </xf>
    <xf numFmtId="3" fontId="75" fillId="24" borderId="19" xfId="0" applyNumberFormat="1" applyFont="1" applyFill="1" applyBorder="1"/>
    <xf numFmtId="0" fontId="0" fillId="24" borderId="19" xfId="0" applyFill="1" applyBorder="1" applyAlignment="1">
      <alignment horizontal="center" vertical="center"/>
    </xf>
    <xf numFmtId="0" fontId="0" fillId="24" borderId="46" xfId="0" applyFill="1" applyBorder="1" applyAlignment="1">
      <alignment horizontal="center" vertical="center"/>
    </xf>
    <xf numFmtId="0" fontId="0" fillId="24" borderId="19" xfId="0" applyFill="1" applyBorder="1" applyAlignment="1">
      <alignment vertical="center"/>
    </xf>
    <xf numFmtId="0" fontId="4" fillId="24" borderId="0" xfId="0" applyFont="1" applyFill="1" applyAlignment="1">
      <alignment horizontal="left" vertical="center"/>
    </xf>
    <xf numFmtId="3" fontId="75" fillId="24" borderId="22" xfId="0" applyNumberFormat="1" applyFont="1" applyFill="1" applyBorder="1"/>
    <xf numFmtId="0" fontId="62" fillId="24" borderId="22" xfId="0" applyFont="1" applyFill="1" applyBorder="1" applyAlignment="1">
      <alignment horizontal="center" vertical="center"/>
    </xf>
    <xf numFmtId="0" fontId="21" fillId="24" borderId="22" xfId="0" applyFont="1" applyFill="1" applyBorder="1" applyAlignment="1">
      <alignment horizontal="center" vertical="center"/>
    </xf>
    <xf numFmtId="0" fontId="21" fillId="24" borderId="22" xfId="0" applyFont="1" applyFill="1" applyBorder="1" applyAlignment="1">
      <alignment vertical="center"/>
    </xf>
    <xf numFmtId="0" fontId="76" fillId="8" borderId="1" xfId="0" applyFont="1" applyFill="1" applyBorder="1" applyAlignment="1">
      <alignment vertical="center"/>
    </xf>
    <xf numFmtId="0" fontId="21" fillId="24" borderId="19" xfId="0" applyFont="1" applyFill="1" applyBorder="1" applyAlignment="1">
      <alignment horizontal="center" vertical="center"/>
    </xf>
    <xf numFmtId="0" fontId="21" fillId="24" borderId="25" xfId="0" applyFont="1" applyFill="1" applyBorder="1" applyAlignment="1">
      <alignment horizontal="center" vertical="center"/>
    </xf>
    <xf numFmtId="0" fontId="21" fillId="24" borderId="1" xfId="0" applyFont="1" applyFill="1" applyBorder="1" applyAlignment="1">
      <alignment vertical="center"/>
    </xf>
    <xf numFmtId="0" fontId="20" fillId="8" borderId="1" xfId="0" applyFont="1" applyFill="1" applyBorder="1" applyAlignment="1">
      <alignment horizontal="left" vertical="center"/>
    </xf>
    <xf numFmtId="0" fontId="4" fillId="24" borderId="10" xfId="0" applyFont="1" applyFill="1" applyBorder="1" applyAlignment="1">
      <alignment vertical="center" wrapText="1"/>
    </xf>
    <xf numFmtId="0" fontId="4" fillId="24" borderId="10" xfId="0" applyFont="1" applyFill="1" applyBorder="1" applyAlignment="1">
      <alignment vertical="top" wrapText="1"/>
    </xf>
    <xf numFmtId="0" fontId="12" fillId="24" borderId="10" xfId="0" applyFont="1" applyFill="1" applyBorder="1" applyAlignment="1">
      <alignment horizontal="right" vertical="center" wrapText="1"/>
    </xf>
    <xf numFmtId="0" fontId="4" fillId="24" borderId="10" xfId="0" applyFont="1" applyFill="1" applyBorder="1" applyAlignment="1">
      <alignment horizontal="left" vertical="center" wrapText="1"/>
    </xf>
    <xf numFmtId="0" fontId="4" fillId="24" borderId="10" xfId="0" applyFont="1" applyFill="1" applyBorder="1" applyAlignment="1">
      <alignment horizontal="center" vertical="center" wrapText="1"/>
    </xf>
    <xf numFmtId="0" fontId="62" fillId="0" borderId="31" xfId="0" applyFont="1" applyBorder="1" applyAlignment="1">
      <alignment horizontal="center" vertical="center" wrapText="1"/>
    </xf>
    <xf numFmtId="0" fontId="4" fillId="24" borderId="20" xfId="0" applyFont="1" applyFill="1" applyBorder="1" applyAlignment="1">
      <alignment horizontal="center" vertical="center" wrapText="1"/>
    </xf>
    <xf numFmtId="0" fontId="62" fillId="0" borderId="32" xfId="0" applyFont="1" applyBorder="1" applyAlignment="1">
      <alignment horizontal="center" vertical="center" wrapText="1"/>
    </xf>
    <xf numFmtId="0" fontId="21" fillId="0" borderId="1" xfId="0" applyFont="1" applyBorder="1" applyAlignment="1">
      <alignment vertical="center" wrapText="1"/>
    </xf>
    <xf numFmtId="0" fontId="4" fillId="24" borderId="1" xfId="0" applyFont="1" applyFill="1" applyBorder="1" applyAlignment="1">
      <alignment vertical="center" wrapText="1"/>
    </xf>
    <xf numFmtId="0" fontId="4" fillId="8" borderId="1" xfId="0" applyFont="1" applyFill="1" applyBorder="1" applyAlignment="1">
      <alignment vertical="center"/>
    </xf>
    <xf numFmtId="0" fontId="28" fillId="24" borderId="10" xfId="0" applyFont="1" applyFill="1" applyBorder="1" applyAlignment="1">
      <alignment horizontal="left" vertical="center"/>
    </xf>
    <xf numFmtId="0" fontId="28" fillId="24" borderId="10" xfId="0" applyFont="1" applyFill="1" applyBorder="1" applyAlignment="1">
      <alignment vertical="center"/>
    </xf>
    <xf numFmtId="0" fontId="4" fillId="24" borderId="19" xfId="0" applyFont="1" applyFill="1" applyBorder="1" applyAlignment="1">
      <alignment vertical="center" wrapText="1"/>
    </xf>
    <xf numFmtId="0" fontId="4" fillId="24" borderId="19" xfId="0" applyFont="1" applyFill="1" applyBorder="1" applyAlignment="1">
      <alignment vertical="top" wrapText="1"/>
    </xf>
    <xf numFmtId="3" fontId="12" fillId="24" borderId="10" xfId="0" applyNumberFormat="1" applyFont="1" applyFill="1" applyBorder="1" applyAlignment="1">
      <alignment wrapText="1"/>
    </xf>
    <xf numFmtId="0" fontId="4" fillId="24" borderId="19" xfId="0" applyFont="1" applyFill="1" applyBorder="1" applyAlignment="1">
      <alignment horizontal="center" vertical="center" wrapText="1"/>
    </xf>
    <xf numFmtId="0" fontId="4" fillId="24" borderId="46" xfId="0" applyFont="1" applyFill="1" applyBorder="1" applyAlignment="1">
      <alignment horizontal="center" vertical="center" wrapText="1"/>
    </xf>
    <xf numFmtId="0" fontId="4" fillId="24" borderId="36" xfId="0" applyFont="1" applyFill="1" applyBorder="1" applyAlignment="1">
      <alignment vertical="center"/>
    </xf>
    <xf numFmtId="0" fontId="20" fillId="8" borderId="19" xfId="0" applyFont="1" applyFill="1" applyBorder="1" applyAlignment="1">
      <alignment vertical="center" wrapText="1"/>
    </xf>
    <xf numFmtId="0" fontId="0" fillId="22" borderId="36" xfId="0" applyFill="1" applyBorder="1" applyAlignment="1">
      <alignment vertical="center"/>
    </xf>
    <xf numFmtId="3" fontId="21" fillId="0" borderId="18" xfId="0" applyNumberFormat="1" applyFont="1" applyBorder="1"/>
    <xf numFmtId="0" fontId="20" fillId="8" borderId="36" xfId="0" applyFont="1" applyFill="1" applyBorder="1" applyAlignment="1">
      <alignment horizontal="left" vertical="center" wrapText="1"/>
    </xf>
    <xf numFmtId="0" fontId="4" fillId="24" borderId="46" xfId="0" applyFont="1" applyFill="1" applyBorder="1" applyAlignment="1">
      <alignment horizontal="left" vertical="center"/>
    </xf>
    <xf numFmtId="3" fontId="75" fillId="24" borderId="46" xfId="0" applyNumberFormat="1" applyFont="1" applyFill="1" applyBorder="1"/>
    <xf numFmtId="0" fontId="21" fillId="24" borderId="46" xfId="0" applyFont="1" applyFill="1" applyBorder="1" applyAlignment="1">
      <alignment vertical="center"/>
    </xf>
    <xf numFmtId="3" fontId="21" fillId="0" borderId="1" xfId="0" applyNumberFormat="1" applyFont="1" applyBorder="1"/>
    <xf numFmtId="0" fontId="21" fillId="0" borderId="3" xfId="0" applyFont="1" applyBorder="1" applyAlignment="1">
      <alignment horizontal="center" vertical="center"/>
    </xf>
    <xf numFmtId="3" fontId="21" fillId="8" borderId="27" xfId="0" applyNumberFormat="1" applyFont="1" applyFill="1" applyBorder="1"/>
    <xf numFmtId="0" fontId="105" fillId="8" borderId="46" xfId="0" applyFont="1" applyFill="1" applyBorder="1" applyAlignment="1">
      <alignment horizontal="left" vertical="center" wrapText="1"/>
    </xf>
    <xf numFmtId="0" fontId="21" fillId="0" borderId="1" xfId="0" applyFont="1" applyBorder="1" applyAlignment="1">
      <alignment horizontal="left" vertical="center" wrapText="1"/>
    </xf>
    <xf numFmtId="3" fontId="21" fillId="8" borderId="1" xfId="0" applyNumberFormat="1" applyFont="1" applyFill="1" applyBorder="1"/>
    <xf numFmtId="0" fontId="15" fillId="0" borderId="19" xfId="0" applyFont="1" applyBorder="1" applyAlignment="1">
      <alignment horizontal="center" vertical="center" wrapText="1"/>
    </xf>
    <xf numFmtId="0" fontId="21" fillId="8" borderId="4" xfId="0" applyFont="1" applyFill="1" applyBorder="1" applyAlignment="1">
      <alignment vertical="top" wrapText="1"/>
    </xf>
    <xf numFmtId="0" fontId="21" fillId="0" borderId="36" xfId="0" applyFont="1" applyBorder="1" applyAlignment="1">
      <alignment horizontal="center" vertical="center"/>
    </xf>
    <xf numFmtId="0" fontId="76" fillId="0" borderId="4" xfId="0" applyFont="1" applyBorder="1" applyAlignment="1">
      <alignment horizontal="center" vertical="center"/>
    </xf>
    <xf numFmtId="0" fontId="21" fillId="0" borderId="37" xfId="0" applyFont="1" applyBorder="1" applyAlignment="1">
      <alignment horizontal="center" vertical="center"/>
    </xf>
    <xf numFmtId="0" fontId="13" fillId="8" borderId="0" xfId="0" applyFont="1" applyFill="1" applyAlignment="1">
      <alignment horizontal="left" vertical="center" wrapText="1"/>
    </xf>
    <xf numFmtId="3" fontId="21" fillId="0" borderId="27" xfId="0" applyNumberFormat="1" applyFont="1" applyBorder="1"/>
    <xf numFmtId="3" fontId="21" fillId="8" borderId="37" xfId="0" applyNumberFormat="1" applyFont="1" applyFill="1" applyBorder="1"/>
    <xf numFmtId="3" fontId="21" fillId="0" borderId="11" xfId="0" applyNumberFormat="1" applyFont="1" applyBorder="1"/>
    <xf numFmtId="0" fontId="21" fillId="0" borderId="37" xfId="0" applyFont="1" applyBorder="1" applyAlignment="1">
      <alignment vertical="center" wrapText="1"/>
    </xf>
    <xf numFmtId="0" fontId="4" fillId="8" borderId="46" xfId="0" applyFont="1" applyFill="1" applyBorder="1" applyAlignment="1">
      <alignment horizontal="left" vertical="center" wrapText="1"/>
    </xf>
    <xf numFmtId="0" fontId="62" fillId="0" borderId="4" xfId="0" applyFont="1" applyBorder="1" applyAlignment="1">
      <alignment horizontal="center" vertical="center" wrapText="1"/>
    </xf>
    <xf numFmtId="0" fontId="21" fillId="8" borderId="1" xfId="0" applyFont="1" applyFill="1" applyBorder="1" applyAlignment="1">
      <alignment vertical="center"/>
    </xf>
    <xf numFmtId="0" fontId="21" fillId="0" borderId="25" xfId="0" applyFont="1" applyBorder="1" applyAlignment="1">
      <alignment horizontal="left" vertical="center"/>
    </xf>
    <xf numFmtId="0" fontId="76" fillId="0" borderId="3" xfId="0" applyFont="1" applyBorder="1" applyAlignment="1">
      <alignment horizontal="left" vertical="center" wrapText="1"/>
    </xf>
    <xf numFmtId="0" fontId="67" fillId="0" borderId="46" xfId="0" applyFont="1" applyBorder="1" applyAlignment="1">
      <alignment vertical="center" wrapText="1"/>
    </xf>
    <xf numFmtId="0" fontId="71" fillId="0" borderId="46" xfId="0" applyFont="1" applyBorder="1" applyAlignment="1">
      <alignment vertical="top" wrapText="1"/>
    </xf>
    <xf numFmtId="0" fontId="62" fillId="8" borderId="46" xfId="0" applyFont="1" applyFill="1" applyBorder="1" applyAlignment="1">
      <alignment vertical="center" wrapText="1"/>
    </xf>
    <xf numFmtId="0" fontId="62" fillId="8" borderId="46" xfId="0" applyFont="1" applyFill="1" applyBorder="1" applyAlignment="1">
      <alignment vertical="top" wrapText="1"/>
    </xf>
    <xf numFmtId="0" fontId="21" fillId="0" borderId="1" xfId="0" applyFont="1" applyBorder="1" applyAlignment="1">
      <alignment vertical="top" wrapText="1"/>
    </xf>
    <xf numFmtId="0" fontId="62" fillId="0" borderId="1" xfId="0" applyFont="1" applyBorder="1" applyAlignment="1">
      <alignment vertical="center" wrapText="1"/>
    </xf>
    <xf numFmtId="0" fontId="62" fillId="0" borderId="1" xfId="0" applyFont="1" applyBorder="1" applyAlignment="1">
      <alignment vertical="top" wrapText="1"/>
    </xf>
    <xf numFmtId="3" fontId="21" fillId="0" borderId="26" xfId="0" applyNumberFormat="1" applyFont="1" applyBorder="1" applyAlignment="1">
      <alignment wrapText="1"/>
    </xf>
    <xf numFmtId="3" fontId="20" fillId="8" borderId="26" xfId="0" applyNumberFormat="1" applyFont="1" applyFill="1" applyBorder="1"/>
    <xf numFmtId="3" fontId="4" fillId="8" borderId="21" xfId="0" applyNumberFormat="1" applyFont="1" applyFill="1" applyBorder="1" applyAlignment="1">
      <alignment wrapText="1"/>
    </xf>
    <xf numFmtId="3" fontId="4" fillId="8" borderId="19" xfId="0" applyNumberFormat="1" applyFont="1" applyFill="1" applyBorder="1" applyAlignment="1">
      <alignment wrapText="1"/>
    </xf>
    <xf numFmtId="0" fontId="106" fillId="23" borderId="19" xfId="0" applyFont="1" applyFill="1" applyBorder="1" applyAlignment="1">
      <alignment horizontal="left" vertical="center"/>
    </xf>
    <xf numFmtId="3" fontId="75" fillId="23" borderId="19" xfId="0" applyNumberFormat="1" applyFont="1" applyFill="1" applyBorder="1"/>
    <xf numFmtId="3" fontId="21" fillId="0" borderId="22" xfId="0" applyNumberFormat="1" applyFont="1" applyBorder="1" applyAlignment="1">
      <alignment wrapText="1"/>
    </xf>
    <xf numFmtId="0" fontId="21" fillId="8" borderId="4" xfId="0" applyFont="1" applyFill="1" applyBorder="1" applyAlignment="1">
      <alignment vertical="center" wrapText="1"/>
    </xf>
    <xf numFmtId="0" fontId="20" fillId="8" borderId="4" xfId="0" applyFont="1" applyFill="1" applyBorder="1" applyAlignment="1">
      <alignment horizontal="left" vertical="center" wrapText="1"/>
    </xf>
    <xf numFmtId="3" fontId="21" fillId="8" borderId="4" xfId="0" applyNumberFormat="1" applyFont="1" applyFill="1" applyBorder="1" applyAlignment="1">
      <alignment wrapText="1"/>
    </xf>
    <xf numFmtId="0" fontId="76" fillId="0" borderId="47" xfId="0" applyFont="1" applyBorder="1" applyAlignment="1">
      <alignment horizontal="left" vertical="center" wrapText="1"/>
    </xf>
    <xf numFmtId="0" fontId="4" fillId="8" borderId="37" xfId="0" applyFont="1" applyFill="1" applyBorder="1" applyAlignment="1">
      <alignment horizontal="left" vertical="center" wrapText="1"/>
    </xf>
    <xf numFmtId="0" fontId="4" fillId="8" borderId="46" xfId="0" applyFont="1" applyFill="1" applyBorder="1" applyAlignment="1">
      <alignment horizontal="left" vertical="center"/>
    </xf>
    <xf numFmtId="0" fontId="4" fillId="8" borderId="46" xfId="0" applyFont="1" applyFill="1" applyBorder="1" applyAlignment="1">
      <alignment vertical="top" wrapText="1"/>
    </xf>
    <xf numFmtId="0" fontId="4" fillId="8" borderId="4" xfId="0" applyFont="1" applyFill="1" applyBorder="1" applyAlignment="1">
      <alignment horizontal="left" vertical="center" wrapText="1"/>
    </xf>
    <xf numFmtId="3" fontId="4" fillId="8" borderId="22" xfId="0" applyNumberFormat="1" applyFont="1" applyFill="1" applyBorder="1" applyAlignment="1">
      <alignment wrapText="1"/>
    </xf>
    <xf numFmtId="3" fontId="21" fillId="0" borderId="1" xfId="0" applyNumberFormat="1" applyFont="1" applyBorder="1" applyAlignment="1">
      <alignment wrapText="1"/>
    </xf>
    <xf numFmtId="0" fontId="20" fillId="8" borderId="1" xfId="0" applyFont="1" applyFill="1" applyBorder="1" applyAlignment="1">
      <alignment horizontal="left" vertical="top" wrapText="1"/>
    </xf>
    <xf numFmtId="3" fontId="20" fillId="8" borderId="1" xfId="0" applyNumberFormat="1" applyFont="1" applyFill="1" applyBorder="1"/>
    <xf numFmtId="0" fontId="4" fillId="8" borderId="1" xfId="0" applyFont="1" applyFill="1" applyBorder="1" applyAlignment="1">
      <alignment vertical="top" wrapText="1"/>
    </xf>
    <xf numFmtId="3" fontId="4" fillId="8" borderId="1" xfId="0" applyNumberFormat="1" applyFont="1" applyFill="1" applyBorder="1" applyAlignment="1">
      <alignment wrapText="1"/>
    </xf>
    <xf numFmtId="0" fontId="63" fillId="4" borderId="1" xfId="0" applyFont="1" applyFill="1" applyBorder="1" applyAlignment="1">
      <alignment horizontal="left" vertical="center" wrapText="1"/>
    </xf>
    <xf numFmtId="3" fontId="27" fillId="12" borderId="19" xfId="0" applyNumberFormat="1" applyFont="1" applyFill="1" applyBorder="1" applyAlignment="1">
      <alignment horizontal="center" vertical="center" wrapText="1"/>
    </xf>
    <xf numFmtId="0" fontId="26" fillId="0" borderId="0" xfId="0" applyFont="1"/>
    <xf numFmtId="0" fontId="26" fillId="0" borderId="0" xfId="0" applyFont="1" applyAlignment="1">
      <alignment horizontal="left"/>
    </xf>
    <xf numFmtId="0" fontId="12" fillId="24" borderId="10" xfId="0" applyFont="1" applyFill="1" applyBorder="1" applyAlignment="1">
      <alignment horizontal="left" vertical="center"/>
    </xf>
    <xf numFmtId="0" fontId="76" fillId="0" borderId="19" xfId="0" applyFont="1" applyBorder="1" applyAlignment="1">
      <alignment horizontal="center" vertical="center"/>
    </xf>
    <xf numFmtId="0" fontId="76" fillId="0" borderId="37" xfId="0" applyFont="1" applyBorder="1" applyAlignment="1">
      <alignment horizontal="center" vertical="center"/>
    </xf>
    <xf numFmtId="0" fontId="72" fillId="8" borderId="19" xfId="0" applyFont="1" applyFill="1" applyBorder="1" applyAlignment="1">
      <alignment horizontal="left" vertical="center" wrapText="1"/>
    </xf>
    <xf numFmtId="0" fontId="72" fillId="8" borderId="22" xfId="0" applyFont="1" applyFill="1" applyBorder="1" applyAlignment="1">
      <alignment horizontal="left" vertical="center" wrapText="1"/>
    </xf>
    <xf numFmtId="0" fontId="21" fillId="0" borderId="19" xfId="0" applyFont="1" applyBorder="1" applyAlignment="1">
      <alignment horizontal="left" vertical="center" wrapText="1"/>
    </xf>
    <xf numFmtId="0" fontId="21" fillId="0" borderId="22" xfId="0" applyFont="1" applyBorder="1" applyAlignment="1">
      <alignment horizontal="left" vertical="center" wrapText="1"/>
    </xf>
    <xf numFmtId="0" fontId="21" fillId="0" borderId="19" xfId="0" applyFont="1" applyBorder="1" applyAlignment="1">
      <alignment horizontal="left" vertical="center"/>
    </xf>
    <xf numFmtId="0" fontId="21" fillId="0" borderId="46" xfId="0" applyFont="1" applyBorder="1" applyAlignment="1">
      <alignment horizontal="left" vertical="center"/>
    </xf>
    <xf numFmtId="0" fontId="68" fillId="0" borderId="46" xfId="0" applyFont="1" applyBorder="1" applyAlignment="1">
      <alignment horizontal="left" vertical="center"/>
    </xf>
    <xf numFmtId="0" fontId="21" fillId="0" borderId="19" xfId="0" applyFont="1" applyBorder="1" applyAlignment="1">
      <alignment horizontal="left" vertical="top" wrapText="1"/>
    </xf>
    <xf numFmtId="0" fontId="21" fillId="0" borderId="22" xfId="0" applyFont="1" applyBorder="1" applyAlignment="1">
      <alignment horizontal="left" vertical="top" wrapText="1"/>
    </xf>
    <xf numFmtId="0" fontId="4" fillId="8" borderId="1" xfId="0" applyFont="1" applyFill="1" applyBorder="1" applyAlignment="1">
      <alignment horizontal="center" vertical="center"/>
    </xf>
    <xf numFmtId="0" fontId="4" fillId="8" borderId="19" xfId="0" applyFont="1" applyFill="1" applyBorder="1" applyAlignment="1">
      <alignment horizontal="left" vertical="center"/>
    </xf>
    <xf numFmtId="0" fontId="4" fillId="8" borderId="1" xfId="0" applyFont="1" applyFill="1" applyBorder="1" applyAlignment="1">
      <alignment horizontal="left" vertical="center"/>
    </xf>
    <xf numFmtId="0" fontId="4" fillId="8" borderId="25" xfId="0" applyFont="1" applyFill="1" applyBorder="1" applyAlignment="1">
      <alignment horizontal="left" vertical="center" wrapText="1"/>
    </xf>
    <xf numFmtId="0" fontId="4" fillId="8" borderId="1" xfId="0" applyFont="1" applyFill="1" applyBorder="1" applyAlignment="1">
      <alignment horizontal="left" vertical="center" wrapText="1"/>
    </xf>
    <xf numFmtId="0" fontId="4" fillId="8" borderId="3" xfId="0" applyFont="1" applyFill="1" applyBorder="1" applyAlignment="1">
      <alignment horizontal="left" vertical="center" wrapText="1"/>
    </xf>
    <xf numFmtId="0" fontId="21" fillId="8" borderId="4" xfId="0" applyFont="1" applyFill="1" applyBorder="1" applyAlignment="1">
      <alignment horizontal="left" vertical="center" wrapText="1"/>
    </xf>
    <xf numFmtId="0" fontId="21" fillId="8" borderId="1" xfId="0" applyFont="1" applyFill="1" applyBorder="1" applyAlignment="1">
      <alignment horizontal="left" vertical="center" wrapText="1"/>
    </xf>
    <xf numFmtId="0" fontId="76" fillId="0" borderId="11" xfId="0" applyFont="1" applyBorder="1" applyAlignment="1">
      <alignment horizontal="left" vertical="center" wrapText="1"/>
    </xf>
    <xf numFmtId="0" fontId="76" fillId="0" borderId="4" xfId="0" applyFont="1" applyBorder="1" applyAlignment="1">
      <alignment horizontal="left" vertical="center" wrapText="1"/>
    </xf>
    <xf numFmtId="0" fontId="4" fillId="8" borderId="22" xfId="0" applyFont="1" applyFill="1" applyBorder="1" applyAlignment="1">
      <alignment horizontal="left" vertical="center"/>
    </xf>
    <xf numFmtId="0" fontId="4" fillId="8" borderId="19" xfId="0" applyFont="1" applyFill="1" applyBorder="1" applyAlignment="1">
      <alignment horizontal="left" vertical="center" wrapText="1"/>
    </xf>
    <xf numFmtId="0" fontId="4" fillId="8" borderId="22" xfId="0" applyFont="1" applyFill="1" applyBorder="1" applyAlignment="1">
      <alignment horizontal="left" vertical="center" wrapText="1"/>
    </xf>
    <xf numFmtId="0" fontId="4" fillId="8" borderId="25" xfId="0" applyFont="1" applyFill="1" applyBorder="1" applyAlignment="1">
      <alignment horizontal="center" vertical="center" wrapText="1"/>
    </xf>
    <xf numFmtId="0" fontId="4" fillId="8" borderId="28"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62" fillId="0" borderId="31" xfId="0" applyFont="1" applyBorder="1" applyAlignment="1">
      <alignment horizontal="center" vertical="center" wrapText="1"/>
    </xf>
    <xf numFmtId="0" fontId="76" fillId="0" borderId="1" xfId="0" applyFont="1" applyBorder="1" applyAlignment="1">
      <alignment horizontal="center" vertical="center"/>
    </xf>
    <xf numFmtId="0" fontId="76" fillId="0" borderId="22" xfId="0" applyFont="1" applyBorder="1" applyAlignment="1">
      <alignment horizontal="center" vertical="center"/>
    </xf>
    <xf numFmtId="0" fontId="76" fillId="0" borderId="26" xfId="0" applyFont="1" applyBorder="1" applyAlignment="1">
      <alignment horizontal="center" vertical="center"/>
    </xf>
    <xf numFmtId="0" fontId="63" fillId="4" borderId="20" xfId="0" applyFont="1" applyFill="1" applyBorder="1" applyAlignment="1">
      <alignment horizontal="center" vertical="center" wrapText="1"/>
    </xf>
    <xf numFmtId="0" fontId="63" fillId="4" borderId="27" xfId="0" applyFont="1" applyFill="1" applyBorder="1" applyAlignment="1">
      <alignment horizontal="center" vertical="center" wrapText="1"/>
    </xf>
    <xf numFmtId="0" fontId="63" fillId="4" borderId="21" xfId="0" applyFont="1" applyFill="1" applyBorder="1" applyAlignment="1">
      <alignment horizontal="center" vertical="center" wrapText="1"/>
    </xf>
    <xf numFmtId="0" fontId="21" fillId="8" borderId="1" xfId="0" applyFont="1" applyFill="1" applyBorder="1" applyAlignment="1">
      <alignment horizontal="left" vertical="center"/>
    </xf>
    <xf numFmtId="0" fontId="21" fillId="8" borderId="46" xfId="0" applyFont="1" applyFill="1" applyBorder="1" applyAlignment="1">
      <alignment horizontal="left" vertical="center"/>
    </xf>
    <xf numFmtId="0" fontId="21" fillId="8" borderId="22" xfId="0" applyFont="1" applyFill="1" applyBorder="1" applyAlignment="1">
      <alignment horizontal="left" vertical="center"/>
    </xf>
    <xf numFmtId="0" fontId="76" fillId="8" borderId="1" xfId="0" applyFont="1" applyFill="1" applyBorder="1" applyAlignment="1">
      <alignment horizontal="left" vertical="center" wrapText="1"/>
    </xf>
    <xf numFmtId="0" fontId="76" fillId="8" borderId="46" xfId="0" applyFont="1" applyFill="1" applyBorder="1" applyAlignment="1">
      <alignment horizontal="left" vertical="center" wrapText="1"/>
    </xf>
    <xf numFmtId="0" fontId="76" fillId="8" borderId="22" xfId="0" applyFont="1" applyFill="1" applyBorder="1" applyAlignment="1">
      <alignment horizontal="left" vertical="center" wrapText="1"/>
    </xf>
    <xf numFmtId="0" fontId="76" fillId="8" borderId="1" xfId="0" applyFont="1" applyFill="1" applyBorder="1" applyAlignment="1">
      <alignment horizontal="left" vertical="top" wrapText="1"/>
    </xf>
    <xf numFmtId="0" fontId="76" fillId="8" borderId="22" xfId="0" applyFont="1" applyFill="1" applyBorder="1" applyAlignment="1">
      <alignment horizontal="left" vertical="top" wrapText="1"/>
    </xf>
    <xf numFmtId="0" fontId="76" fillId="8" borderId="1" xfId="0" applyFont="1" applyFill="1" applyBorder="1" applyAlignment="1">
      <alignment horizontal="center" vertical="center"/>
    </xf>
    <xf numFmtId="0" fontId="76" fillId="8" borderId="22" xfId="0" applyFont="1" applyFill="1" applyBorder="1" applyAlignment="1">
      <alignment horizontal="center" vertical="center"/>
    </xf>
    <xf numFmtId="0" fontId="15" fillId="8" borderId="19" xfId="0" applyFont="1" applyFill="1" applyBorder="1" applyAlignment="1">
      <alignment horizontal="center" vertical="center"/>
    </xf>
    <xf numFmtId="0" fontId="15" fillId="8" borderId="22" xfId="0" applyFont="1" applyFill="1" applyBorder="1" applyAlignment="1">
      <alignment horizontal="center" vertical="center"/>
    </xf>
    <xf numFmtId="0" fontId="21" fillId="8" borderId="19" xfId="0" applyFont="1" applyFill="1" applyBorder="1" applyAlignment="1">
      <alignment horizontal="left" vertical="top" wrapText="1"/>
    </xf>
    <xf numFmtId="0" fontId="21" fillId="8" borderId="22" xfId="0" applyFont="1" applyFill="1" applyBorder="1" applyAlignment="1">
      <alignment horizontal="left" vertical="top" wrapText="1"/>
    </xf>
    <xf numFmtId="0" fontId="72" fillId="17" borderId="25" xfId="0" applyFont="1" applyFill="1" applyBorder="1" applyAlignment="1">
      <alignment horizontal="left" wrapText="1"/>
    </xf>
    <xf numFmtId="0" fontId="72" fillId="17" borderId="18" xfId="0" applyFont="1" applyFill="1" applyBorder="1" applyAlignment="1">
      <alignment horizontal="left" wrapText="1"/>
    </xf>
    <xf numFmtId="0" fontId="72" fillId="17" borderId="26" xfId="0" applyFont="1" applyFill="1" applyBorder="1" applyAlignment="1">
      <alignment horizontal="left" wrapText="1"/>
    </xf>
    <xf numFmtId="0" fontId="27" fillId="19" borderId="36" xfId="0" applyFont="1" applyFill="1" applyBorder="1" applyAlignment="1">
      <alignment horizontal="left" vertical="center" wrapText="1"/>
    </xf>
    <xf numFmtId="0" fontId="27" fillId="19" borderId="41" xfId="0" applyFont="1" applyFill="1" applyBorder="1" applyAlignment="1">
      <alignment horizontal="left" vertical="center" wrapText="1"/>
    </xf>
    <xf numFmtId="0" fontId="69" fillId="19" borderId="50" xfId="0" applyFont="1" applyFill="1" applyBorder="1" applyAlignment="1">
      <alignment horizontal="left" vertical="center" wrapText="1"/>
    </xf>
    <xf numFmtId="0" fontId="27" fillId="19" borderId="0" xfId="0" applyFont="1" applyFill="1" applyAlignment="1">
      <alignment horizontal="left" vertical="center" wrapText="1"/>
    </xf>
    <xf numFmtId="3" fontId="76" fillId="0" borderId="19" xfId="0" applyNumberFormat="1" applyFont="1" applyBorder="1" applyAlignment="1">
      <alignment horizontal="right" vertical="center"/>
    </xf>
    <xf numFmtId="3" fontId="76" fillId="0" borderId="46" xfId="0" applyNumberFormat="1" applyFont="1" applyBorder="1" applyAlignment="1">
      <alignment horizontal="right" vertical="center"/>
    </xf>
    <xf numFmtId="3" fontId="76" fillId="0" borderId="22" xfId="0" applyNumberFormat="1" applyFont="1" applyBorder="1" applyAlignment="1">
      <alignment horizontal="right" vertical="center"/>
    </xf>
    <xf numFmtId="0" fontId="76" fillId="8" borderId="25" xfId="0" applyFont="1" applyFill="1" applyBorder="1" applyAlignment="1">
      <alignment horizontal="left" vertical="center"/>
    </xf>
    <xf numFmtId="0" fontId="76" fillId="8" borderId="22" xfId="0" applyFont="1" applyFill="1" applyBorder="1" applyAlignment="1">
      <alignment horizontal="left" vertical="center"/>
    </xf>
    <xf numFmtId="0" fontId="19" fillId="8" borderId="1" xfId="0" applyFont="1" applyFill="1" applyBorder="1" applyAlignment="1">
      <alignment horizontal="left" vertical="center" wrapText="1"/>
    </xf>
    <xf numFmtId="0" fontId="19" fillId="8" borderId="22" xfId="0" applyFont="1" applyFill="1" applyBorder="1" applyAlignment="1">
      <alignment horizontal="left" vertical="center" wrapText="1"/>
    </xf>
    <xf numFmtId="0" fontId="19" fillId="8" borderId="1" xfId="0" applyFont="1" applyFill="1" applyBorder="1" applyAlignment="1">
      <alignment horizontal="left" vertical="top" wrapText="1"/>
    </xf>
    <xf numFmtId="0" fontId="19" fillId="8" borderId="22" xfId="0" applyFont="1" applyFill="1" applyBorder="1" applyAlignment="1">
      <alignment horizontal="left" vertical="top" wrapText="1"/>
    </xf>
    <xf numFmtId="0" fontId="76" fillId="8" borderId="19" xfId="0" applyFont="1" applyFill="1" applyBorder="1" applyAlignment="1">
      <alignment horizontal="left" vertical="center"/>
    </xf>
    <xf numFmtId="0" fontId="76" fillId="8" borderId="28" xfId="0" applyFont="1" applyFill="1" applyBorder="1" applyAlignment="1">
      <alignment horizontal="left" vertical="center"/>
    </xf>
    <xf numFmtId="0" fontId="76" fillId="0" borderId="19" xfId="0" applyFont="1" applyBorder="1" applyAlignment="1">
      <alignment horizontal="left" vertical="center" wrapText="1"/>
    </xf>
    <xf numFmtId="0" fontId="76" fillId="0" borderId="1" xfId="0" applyFont="1" applyBorder="1" applyAlignment="1">
      <alignment horizontal="left" vertical="center" wrapText="1"/>
    </xf>
    <xf numFmtId="3" fontId="76" fillId="0" borderId="11" xfId="0" applyNumberFormat="1" applyFont="1" applyBorder="1" applyAlignment="1">
      <alignment horizontal="right" vertical="center"/>
    </xf>
    <xf numFmtId="0" fontId="21" fillId="8" borderId="1" xfId="0" applyFont="1" applyFill="1" applyBorder="1" applyAlignment="1">
      <alignment horizontal="center" vertical="center" wrapText="1"/>
    </xf>
    <xf numFmtId="0" fontId="21" fillId="8" borderId="28" xfId="0" applyFont="1" applyFill="1" applyBorder="1" applyAlignment="1">
      <alignment horizontal="center" vertical="center" wrapText="1"/>
    </xf>
    <xf numFmtId="0" fontId="76" fillId="0" borderId="46" xfId="0" applyFont="1" applyBorder="1" applyAlignment="1">
      <alignment horizontal="center" vertical="center"/>
    </xf>
    <xf numFmtId="0" fontId="62" fillId="8" borderId="1" xfId="0" applyFont="1" applyFill="1" applyBorder="1" applyAlignment="1">
      <alignment horizontal="left" vertical="center" wrapText="1"/>
    </xf>
    <xf numFmtId="0" fontId="62" fillId="8" borderId="30" xfId="0" applyFont="1" applyFill="1" applyBorder="1" applyAlignment="1">
      <alignment horizontal="left" vertical="center" wrapText="1"/>
    </xf>
    <xf numFmtId="0" fontId="62" fillId="0" borderId="19" xfId="0" applyFont="1" applyBorder="1" applyAlignment="1">
      <alignment horizontal="center" vertical="center"/>
    </xf>
    <xf numFmtId="0" fontId="62" fillId="0" borderId="22" xfId="0" applyFont="1" applyBorder="1" applyAlignment="1">
      <alignment horizontal="center" vertical="center"/>
    </xf>
    <xf numFmtId="0" fontId="21" fillId="0" borderId="19" xfId="0" applyFont="1" applyBorder="1" applyAlignment="1">
      <alignment horizontal="center" vertical="center"/>
    </xf>
    <xf numFmtId="0" fontId="21" fillId="0" borderId="22" xfId="0" applyFont="1" applyBorder="1" applyAlignment="1">
      <alignment horizontal="center" vertical="center"/>
    </xf>
    <xf numFmtId="0" fontId="62" fillId="0" borderId="19" xfId="0" applyFont="1" applyBorder="1" applyAlignment="1">
      <alignment horizontal="center" vertical="center" wrapText="1"/>
    </xf>
    <xf numFmtId="0" fontId="62" fillId="0" borderId="22"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2" xfId="0" applyFont="1" applyBorder="1" applyAlignment="1">
      <alignment horizontal="center" vertical="center" wrapText="1"/>
    </xf>
    <xf numFmtId="0" fontId="76" fillId="0" borderId="19" xfId="0" applyFont="1" applyBorder="1" applyAlignment="1">
      <alignment horizontal="center" vertical="center" wrapText="1"/>
    </xf>
    <xf numFmtId="0" fontId="76" fillId="0" borderId="22" xfId="0" applyFont="1" applyBorder="1" applyAlignment="1">
      <alignment horizontal="center" vertical="center" wrapText="1"/>
    </xf>
    <xf numFmtId="0" fontId="21" fillId="0" borderId="46" xfId="0" applyFont="1" applyBorder="1" applyAlignment="1">
      <alignment horizontal="center" vertical="center"/>
    </xf>
    <xf numFmtId="0" fontId="72" fillId="23" borderId="19" xfId="0" applyFont="1" applyFill="1" applyBorder="1" applyAlignment="1">
      <alignment horizontal="left" wrapText="1"/>
    </xf>
    <xf numFmtId="0" fontId="21" fillId="0" borderId="1" xfId="0" applyFont="1" applyBorder="1" applyAlignment="1">
      <alignment horizontal="left" vertical="center" wrapText="1"/>
    </xf>
    <xf numFmtId="0" fontId="21" fillId="0" borderId="1" xfId="0" applyFont="1" applyBorder="1" applyAlignment="1">
      <alignment horizontal="left" vertical="center"/>
    </xf>
    <xf numFmtId="0" fontId="62" fillId="0" borderId="19" xfId="0" applyFont="1" applyBorder="1" applyAlignment="1">
      <alignment horizontal="left" vertical="center" wrapText="1"/>
    </xf>
    <xf numFmtId="0" fontId="62" fillId="0" borderId="46" xfId="0" applyFont="1" applyBorder="1" applyAlignment="1">
      <alignment horizontal="left" vertical="center" wrapText="1"/>
    </xf>
    <xf numFmtId="0" fontId="62" fillId="0" borderId="19" xfId="0" applyFont="1" applyBorder="1" applyAlignment="1">
      <alignment horizontal="left" vertical="top" wrapText="1"/>
    </xf>
    <xf numFmtId="0" fontId="62" fillId="0" borderId="46" xfId="0" applyFont="1" applyBorder="1" applyAlignment="1">
      <alignment horizontal="left" vertical="top" wrapText="1"/>
    </xf>
    <xf numFmtId="0" fontId="21" fillId="8" borderId="46" xfId="0" applyFont="1" applyFill="1" applyBorder="1" applyAlignment="1">
      <alignment horizontal="left" vertical="center" wrapText="1"/>
    </xf>
    <xf numFmtId="0" fontId="21" fillId="8" borderId="46" xfId="0" applyFont="1" applyFill="1" applyBorder="1" applyAlignment="1">
      <alignment horizontal="left" vertical="top" wrapText="1"/>
    </xf>
    <xf numFmtId="0" fontId="21" fillId="8" borderId="19" xfId="0" applyFont="1" applyFill="1" applyBorder="1" applyAlignment="1">
      <alignment horizontal="left" vertical="center"/>
    </xf>
    <xf numFmtId="0" fontId="27" fillId="22" borderId="19" xfId="0" applyFont="1" applyFill="1" applyBorder="1" applyAlignment="1">
      <alignment horizontal="left" vertical="center" wrapText="1"/>
    </xf>
    <xf numFmtId="0" fontId="69" fillId="22" borderId="19" xfId="0" applyFont="1" applyFill="1" applyBorder="1" applyAlignment="1">
      <alignment horizontal="left" vertical="center" wrapText="1"/>
    </xf>
    <xf numFmtId="0" fontId="21" fillId="0" borderId="10" xfId="0" applyFont="1" applyBorder="1" applyAlignment="1">
      <alignment horizontal="left" vertical="center" wrapText="1"/>
    </xf>
    <xf numFmtId="0" fontId="62" fillId="0" borderId="28" xfId="0" applyFont="1" applyBorder="1" applyAlignment="1">
      <alignment horizontal="justify" vertical="center" wrapText="1"/>
    </xf>
    <xf numFmtId="0" fontId="62" fillId="0" borderId="20" xfId="0" applyFont="1" applyBorder="1" applyAlignment="1">
      <alignment horizontal="justify" vertical="center" wrapText="1"/>
    </xf>
    <xf numFmtId="0" fontId="21" fillId="8" borderId="19" xfId="0" applyFont="1" applyFill="1" applyBorder="1" applyAlignment="1">
      <alignment horizontal="left" vertical="center" wrapText="1"/>
    </xf>
    <xf numFmtId="0" fontId="21" fillId="8" borderId="22" xfId="0" applyFont="1" applyFill="1" applyBorder="1" applyAlignment="1">
      <alignment horizontal="left" vertical="center" wrapText="1"/>
    </xf>
    <xf numFmtId="0" fontId="21" fillId="8" borderId="28" xfId="0" applyFont="1" applyFill="1" applyBorder="1" applyAlignment="1">
      <alignment horizontal="left" vertical="center"/>
    </xf>
    <xf numFmtId="0" fontId="63" fillId="4" borderId="10" xfId="0" applyFont="1" applyFill="1" applyBorder="1" applyAlignment="1">
      <alignment horizontal="left" vertical="center" wrapText="1"/>
    </xf>
    <xf numFmtId="0" fontId="101" fillId="4" borderId="26" xfId="0" applyFont="1" applyFill="1" applyBorder="1" applyAlignment="1">
      <alignment horizontal="center" vertical="center" wrapText="1"/>
    </xf>
    <xf numFmtId="0" fontId="101" fillId="4" borderId="37" xfId="0" applyFont="1" applyFill="1" applyBorder="1" applyAlignment="1">
      <alignment horizontal="center" vertical="center" wrapText="1"/>
    </xf>
    <xf numFmtId="0" fontId="27" fillId="4" borderId="19" xfId="0" applyFont="1" applyFill="1" applyBorder="1" applyAlignment="1">
      <alignment horizontal="center" vertical="center" wrapText="1"/>
    </xf>
    <xf numFmtId="0" fontId="27" fillId="4" borderId="46" xfId="0" applyFont="1" applyFill="1" applyBorder="1" applyAlignment="1">
      <alignment horizontal="center" vertical="center" wrapText="1"/>
    </xf>
    <xf numFmtId="0" fontId="27" fillId="18" borderId="33" xfId="0" applyFont="1" applyFill="1" applyBorder="1" applyAlignment="1">
      <alignment horizontal="center" vertical="center" wrapText="1"/>
    </xf>
    <xf numFmtId="0" fontId="27" fillId="18" borderId="34" xfId="0" applyFont="1" applyFill="1" applyBorder="1" applyAlignment="1">
      <alignment horizontal="center" vertical="center" wrapText="1"/>
    </xf>
    <xf numFmtId="0" fontId="72" fillId="24" borderId="19" xfId="0" applyFont="1" applyFill="1" applyBorder="1" applyAlignment="1">
      <alignment horizontal="left" wrapText="1"/>
    </xf>
    <xf numFmtId="0" fontId="72" fillId="24" borderId="46" xfId="0" applyFont="1" applyFill="1" applyBorder="1" applyAlignment="1">
      <alignment horizontal="left" wrapText="1"/>
    </xf>
    <xf numFmtId="0" fontId="27" fillId="18" borderId="28" xfId="0" applyFont="1" applyFill="1" applyBorder="1" applyAlignment="1">
      <alignment horizontal="left" vertical="center" wrapText="1"/>
    </xf>
    <xf numFmtId="0" fontId="27" fillId="18" borderId="34" xfId="0" applyFont="1" applyFill="1" applyBorder="1" applyAlignment="1">
      <alignment horizontal="left" vertical="center" wrapText="1"/>
    </xf>
    <xf numFmtId="0" fontId="72" fillId="24" borderId="22" xfId="0" applyFont="1" applyFill="1" applyBorder="1" applyAlignment="1">
      <alignment horizontal="left" wrapText="1"/>
    </xf>
    <xf numFmtId="0" fontId="72" fillId="24" borderId="10" xfId="0" applyFont="1" applyFill="1" applyBorder="1" applyAlignment="1">
      <alignment horizontal="left" wrapText="1"/>
    </xf>
    <xf numFmtId="0" fontId="21" fillId="0" borderId="22" xfId="0" applyFont="1" applyBorder="1" applyAlignment="1">
      <alignment horizontal="left" vertical="center"/>
    </xf>
    <xf numFmtId="0" fontId="29" fillId="4" borderId="10" xfId="0" applyFont="1" applyFill="1" applyBorder="1" applyAlignment="1">
      <alignment horizontal="center" vertical="center" wrapText="1"/>
    </xf>
    <xf numFmtId="0" fontId="29" fillId="4" borderId="10" xfId="0" applyFont="1" applyFill="1" applyBorder="1" applyAlignment="1">
      <alignment horizontal="center" vertical="center"/>
    </xf>
    <xf numFmtId="0" fontId="63" fillId="4" borderId="19" xfId="0" applyFont="1" applyFill="1" applyBorder="1" applyAlignment="1">
      <alignment horizontal="left" vertical="center" wrapText="1"/>
    </xf>
    <xf numFmtId="0" fontId="63" fillId="4" borderId="10" xfId="0" applyFont="1" applyFill="1" applyBorder="1" applyAlignment="1">
      <alignment horizontal="center" vertical="center" wrapText="1"/>
    </xf>
    <xf numFmtId="0" fontId="63" fillId="4" borderId="19" xfId="0" applyFont="1" applyFill="1" applyBorder="1" applyAlignment="1">
      <alignment horizontal="center" vertical="center" wrapText="1"/>
    </xf>
    <xf numFmtId="0" fontId="64" fillId="4" borderId="10" xfId="0" applyFont="1" applyFill="1" applyBorder="1" applyAlignment="1">
      <alignment horizontal="center" vertical="center"/>
    </xf>
    <xf numFmtId="0" fontId="64" fillId="4" borderId="19" xfId="0" applyFont="1" applyFill="1" applyBorder="1" applyAlignment="1">
      <alignment horizontal="center" vertical="center"/>
    </xf>
    <xf numFmtId="0" fontId="64" fillId="4" borderId="10" xfId="0" applyFont="1" applyFill="1" applyBorder="1" applyAlignment="1">
      <alignment horizontal="center" vertical="center" wrapText="1"/>
    </xf>
    <xf numFmtId="0" fontId="64" fillId="4" borderId="19" xfId="0" applyFont="1" applyFill="1" applyBorder="1" applyAlignment="1">
      <alignment horizontal="center" vertical="center" wrapText="1"/>
    </xf>
    <xf numFmtId="0" fontId="63" fillId="12" borderId="25" xfId="0" applyFont="1" applyFill="1" applyBorder="1" applyAlignment="1">
      <alignment horizontal="left"/>
    </xf>
    <xf numFmtId="0" fontId="63" fillId="12" borderId="18" xfId="0" applyFont="1" applyFill="1" applyBorder="1" applyAlignment="1">
      <alignment horizontal="left"/>
    </xf>
    <xf numFmtId="0" fontId="63" fillId="12" borderId="26" xfId="0" applyFont="1" applyFill="1" applyBorder="1" applyAlignment="1">
      <alignment horizontal="left"/>
    </xf>
    <xf numFmtId="0" fontId="21" fillId="0" borderId="1" xfId="0" applyFont="1" applyBorder="1" applyAlignment="1">
      <alignment horizontal="center" vertical="center" wrapText="1"/>
    </xf>
    <xf numFmtId="0" fontId="63" fillId="4" borderId="10" xfId="0" applyFont="1" applyFill="1" applyBorder="1" applyAlignment="1">
      <alignment horizontal="right" vertical="center" wrapText="1"/>
    </xf>
    <xf numFmtId="0" fontId="21" fillId="8" borderId="10" xfId="0" applyFont="1" applyFill="1" applyBorder="1" applyAlignment="1">
      <alignment horizontal="left" vertical="center"/>
    </xf>
    <xf numFmtId="0" fontId="72" fillId="20" borderId="19" xfId="0" applyFont="1" applyFill="1" applyBorder="1" applyAlignment="1">
      <alignment horizontal="left" wrapText="1"/>
    </xf>
    <xf numFmtId="0" fontId="72" fillId="20" borderId="25" xfId="0" applyFont="1" applyFill="1" applyBorder="1" applyAlignment="1">
      <alignment horizontal="left" wrapText="1"/>
    </xf>
    <xf numFmtId="0" fontId="21" fillId="0" borderId="20" xfId="0" applyFont="1" applyBorder="1" applyAlignment="1">
      <alignment horizontal="left" vertical="center"/>
    </xf>
    <xf numFmtId="0" fontId="62" fillId="0" borderId="10" xfId="0" applyFont="1" applyBorder="1" applyAlignment="1">
      <alignment horizontal="left" vertical="center" wrapText="1"/>
    </xf>
    <xf numFmtId="0" fontId="62" fillId="0" borderId="19" xfId="0" applyFont="1" applyBorder="1" applyAlignment="1">
      <alignment horizontal="left" vertical="center"/>
    </xf>
    <xf numFmtId="0" fontId="62" fillId="0" borderId="46" xfId="0" applyFont="1" applyBorder="1" applyAlignment="1">
      <alignment horizontal="left" vertical="center"/>
    </xf>
    <xf numFmtId="0" fontId="62" fillId="0" borderId="1" xfId="0" applyFont="1" applyBorder="1" applyAlignment="1">
      <alignment horizontal="left" vertical="center"/>
    </xf>
    <xf numFmtId="0" fontId="62" fillId="0" borderId="22" xfId="0" applyFont="1" applyBorder="1" applyAlignment="1">
      <alignment horizontal="left" vertical="center"/>
    </xf>
    <xf numFmtId="0" fontId="21" fillId="8" borderId="19" xfId="0" applyFont="1" applyFill="1" applyBorder="1" applyAlignment="1">
      <alignment horizontal="center" vertical="center" wrapText="1"/>
    </xf>
    <xf numFmtId="0" fontId="21" fillId="8" borderId="22" xfId="0" applyFont="1" applyFill="1" applyBorder="1" applyAlignment="1">
      <alignment horizontal="center" vertical="center" wrapText="1"/>
    </xf>
    <xf numFmtId="0" fontId="76" fillId="0" borderId="19" xfId="0" applyFont="1" applyBorder="1" applyAlignment="1">
      <alignment horizontal="left" vertical="top" wrapText="1"/>
    </xf>
    <xf numFmtId="0" fontId="76" fillId="0" borderId="1" xfId="0" applyFont="1" applyBorder="1" applyAlignment="1">
      <alignment horizontal="left" vertical="top" wrapText="1"/>
    </xf>
    <xf numFmtId="0" fontId="65" fillId="0" borderId="40" xfId="0" applyFont="1" applyBorder="1" applyAlignment="1">
      <alignment horizontal="center" vertical="center" wrapText="1"/>
    </xf>
    <xf numFmtId="0" fontId="74" fillId="0" borderId="39" xfId="0" applyFont="1" applyBorder="1" applyAlignment="1">
      <alignment horizontal="left" vertical="center" wrapText="1"/>
    </xf>
    <xf numFmtId="0" fontId="27" fillId="0" borderId="40" xfId="0" applyFont="1" applyBorder="1" applyAlignment="1">
      <alignment horizontal="center" vertical="center" wrapText="1"/>
    </xf>
    <xf numFmtId="0" fontId="74" fillId="4" borderId="3" xfId="0" applyFont="1" applyFill="1" applyBorder="1" applyAlignment="1">
      <alignment horizontal="center" vertical="center"/>
    </xf>
    <xf numFmtId="0" fontId="74" fillId="4" borderId="4" xfId="0" applyFont="1" applyFill="1" applyBorder="1" applyAlignment="1">
      <alignment horizontal="center" vertical="center"/>
    </xf>
    <xf numFmtId="0" fontId="74" fillId="4" borderId="31" xfId="0" applyFont="1" applyFill="1" applyBorder="1" applyAlignment="1">
      <alignment horizontal="center" vertical="center" wrapText="1"/>
    </xf>
    <xf numFmtId="0" fontId="74" fillId="4" borderId="2" xfId="0" applyFont="1" applyFill="1" applyBorder="1" applyAlignment="1">
      <alignment horizontal="center" vertical="center" wrapText="1"/>
    </xf>
    <xf numFmtId="0" fontId="33" fillId="0" borderId="0" xfId="0" applyFont="1" applyAlignment="1">
      <alignment horizontal="left"/>
    </xf>
    <xf numFmtId="0" fontId="33" fillId="0" borderId="0" xfId="0" applyFont="1" applyAlignment="1">
      <alignment horizontal="center"/>
    </xf>
    <xf numFmtId="0" fontId="37" fillId="0" borderId="31" xfId="0" applyFont="1" applyBorder="1" applyAlignment="1">
      <alignment horizontal="right"/>
    </xf>
    <xf numFmtId="0" fontId="37" fillId="0" borderId="7" xfId="0" applyFont="1" applyBorder="1" applyAlignment="1">
      <alignment horizontal="right"/>
    </xf>
    <xf numFmtId="0" fontId="37" fillId="0" borderId="2" xfId="0" applyFont="1" applyBorder="1" applyAlignment="1">
      <alignment horizontal="right"/>
    </xf>
    <xf numFmtId="0" fontId="37" fillId="0" borderId="7" xfId="0" applyFont="1" applyBorder="1" applyAlignment="1">
      <alignment horizontal="center"/>
    </xf>
    <xf numFmtId="0" fontId="37" fillId="0" borderId="31" xfId="0" applyFont="1" applyBorder="1" applyAlignment="1">
      <alignment horizontal="right" vertical="center" wrapText="1"/>
    </xf>
    <xf numFmtId="0" fontId="37" fillId="0" borderId="7" xfId="0" applyFont="1" applyBorder="1" applyAlignment="1">
      <alignment horizontal="right" vertical="center" wrapText="1"/>
    </xf>
    <xf numFmtId="0" fontId="37" fillId="0" borderId="2" xfId="0" applyFont="1" applyBorder="1" applyAlignment="1">
      <alignment horizontal="right" vertical="center" wrapText="1"/>
    </xf>
    <xf numFmtId="0" fontId="46" fillId="0" borderId="7" xfId="0" applyFont="1" applyBorder="1" applyAlignment="1">
      <alignment horizontal="right"/>
    </xf>
    <xf numFmtId="0" fontId="46" fillId="0" borderId="2" xfId="0" applyFont="1" applyBorder="1" applyAlignment="1">
      <alignment horizontal="right"/>
    </xf>
    <xf numFmtId="0" fontId="37" fillId="0" borderId="0" xfId="0" applyFont="1" applyAlignment="1">
      <alignment horizontal="center"/>
    </xf>
    <xf numFmtId="0" fontId="33" fillId="0" borderId="12" xfId="0" applyFont="1" applyBorder="1" applyAlignment="1">
      <alignment horizontal="center" vertical="center"/>
    </xf>
    <xf numFmtId="0" fontId="33" fillId="0" borderId="41" xfId="0" applyFont="1" applyBorder="1" applyAlignment="1">
      <alignment horizontal="center" vertical="center"/>
    </xf>
    <xf numFmtId="0" fontId="33" fillId="0" borderId="13" xfId="0" applyFont="1" applyBorder="1" applyAlignment="1">
      <alignment horizontal="center" vertical="center"/>
    </xf>
    <xf numFmtId="0" fontId="37" fillId="0" borderId="31" xfId="0" applyFont="1" applyBorder="1" applyAlignment="1">
      <alignment horizontal="center"/>
    </xf>
    <xf numFmtId="0" fontId="37" fillId="0" borderId="2" xfId="0" applyFont="1" applyBorder="1" applyAlignment="1">
      <alignment horizontal="center"/>
    </xf>
    <xf numFmtId="0" fontId="37" fillId="0" borderId="32" xfId="0" applyFont="1" applyBorder="1" applyAlignment="1">
      <alignment horizontal="right"/>
    </xf>
    <xf numFmtId="0" fontId="37" fillId="0" borderId="39" xfId="0" applyFont="1" applyBorder="1" applyAlignment="1">
      <alignment horizontal="right"/>
    </xf>
    <xf numFmtId="0" fontId="46" fillId="0" borderId="7" xfId="0" applyFont="1" applyBorder="1" applyAlignment="1">
      <alignment horizontal="center"/>
    </xf>
    <xf numFmtId="0" fontId="46" fillId="0" borderId="2" xfId="0" applyFont="1" applyBorder="1" applyAlignment="1">
      <alignment horizontal="center"/>
    </xf>
    <xf numFmtId="0" fontId="29" fillId="0" borderId="0" xfId="0" applyFont="1" applyAlignment="1">
      <alignment horizontal="center"/>
    </xf>
    <xf numFmtId="0" fontId="37" fillId="4" borderId="1" xfId="3" applyFont="1" applyFill="1" applyBorder="1" applyAlignment="1">
      <alignment horizontal="center" vertical="center" wrapText="1"/>
    </xf>
    <xf numFmtId="0" fontId="33" fillId="0" borderId="1" xfId="3" applyFont="1" applyBorder="1" applyAlignment="1">
      <alignment horizontal="left" vertical="center" wrapText="1"/>
    </xf>
    <xf numFmtId="0" fontId="44" fillId="8" borderId="1" xfId="9" applyFont="1" applyFill="1" applyBorder="1" applyAlignment="1">
      <alignment horizontal="left" vertical="center" wrapText="1"/>
    </xf>
    <xf numFmtId="0" fontId="46" fillId="0" borderId="31" xfId="0" applyFont="1" applyBorder="1" applyAlignment="1">
      <alignment horizontal="right"/>
    </xf>
    <xf numFmtId="0" fontId="46" fillId="0" borderId="31" xfId="0" applyFont="1" applyBorder="1" applyAlignment="1">
      <alignment horizontal="center"/>
    </xf>
    <xf numFmtId="0" fontId="37" fillId="0" borderId="40" xfId="0" applyFont="1" applyBorder="1" applyAlignment="1">
      <alignment horizontal="center"/>
    </xf>
    <xf numFmtId="0" fontId="34" fillId="0" borderId="19" xfId="0" applyFont="1" applyBorder="1" applyAlignment="1">
      <alignment horizontal="center" vertical="center"/>
    </xf>
    <xf numFmtId="0" fontId="34" fillId="0" borderId="46" xfId="0" applyFont="1" applyBorder="1" applyAlignment="1">
      <alignment horizontal="center" vertical="center"/>
    </xf>
    <xf numFmtId="0" fontId="34" fillId="0" borderId="49" xfId="0" applyFont="1" applyBorder="1" applyAlignment="1">
      <alignment horizontal="center" vertical="center"/>
    </xf>
    <xf numFmtId="0" fontId="34" fillId="0" borderId="22" xfId="0" applyFont="1" applyBorder="1" applyAlignment="1">
      <alignment horizontal="center" vertical="center"/>
    </xf>
    <xf numFmtId="0" fontId="44" fillId="0" borderId="1" xfId="0" applyFont="1" applyBorder="1" applyAlignment="1">
      <alignment horizontal="center" vertical="center" wrapText="1"/>
    </xf>
    <xf numFmtId="0" fontId="97" fillId="0" borderId="1" xfId="0" applyFont="1" applyBorder="1" applyAlignment="1">
      <alignment vertical="center" wrapText="1"/>
    </xf>
    <xf numFmtId="0" fontId="39" fillId="0" borderId="1" xfId="0" applyFont="1" applyBorder="1" applyAlignment="1">
      <alignment horizontal="center" vertical="center"/>
    </xf>
    <xf numFmtId="0" fontId="34" fillId="0" borderId="1" xfId="0" applyFont="1" applyBorder="1" applyAlignment="1">
      <alignment horizontal="center"/>
    </xf>
    <xf numFmtId="0" fontId="3" fillId="4" borderId="31"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4" xfId="0" applyFont="1" applyFill="1" applyBorder="1" applyAlignment="1">
      <alignment wrapText="1"/>
    </xf>
    <xf numFmtId="0" fontId="3" fillId="4" borderId="15" xfId="0" applyFont="1" applyFill="1" applyBorder="1" applyAlignment="1">
      <alignment wrapText="1"/>
    </xf>
    <xf numFmtId="0" fontId="3" fillId="4" borderId="17" xfId="0" applyFont="1" applyFill="1" applyBorder="1" applyAlignment="1">
      <alignment wrapText="1"/>
    </xf>
    <xf numFmtId="0" fontId="3" fillId="4" borderId="16" xfId="0" applyFont="1" applyFill="1" applyBorder="1" applyAlignment="1">
      <alignment wrapText="1"/>
    </xf>
    <xf numFmtId="0" fontId="3" fillId="4" borderId="8" xfId="0" applyFont="1" applyFill="1" applyBorder="1" applyAlignment="1">
      <alignment wrapText="1"/>
    </xf>
    <xf numFmtId="0" fontId="3" fillId="0" borderId="14" xfId="0" applyFont="1" applyBorder="1" applyAlignment="1">
      <alignment horizontal="center" vertical="center" wrapText="1"/>
    </xf>
    <xf numFmtId="0" fontId="3" fillId="0" borderId="8" xfId="0" applyFont="1" applyBorder="1" applyAlignment="1">
      <alignment horizontal="center" vertical="center" wrapText="1"/>
    </xf>
    <xf numFmtId="0" fontId="3" fillId="4" borderId="17" xfId="0" applyFont="1" applyFill="1" applyBorder="1" applyAlignment="1">
      <alignment horizontal="center" wrapText="1"/>
    </xf>
    <xf numFmtId="0" fontId="3" fillId="4" borderId="16" xfId="0" applyFont="1" applyFill="1" applyBorder="1" applyAlignment="1">
      <alignment horizontal="center" wrapText="1"/>
    </xf>
    <xf numFmtId="0" fontId="74" fillId="4" borderId="1" xfId="0" applyFont="1" applyFill="1" applyBorder="1" applyAlignment="1">
      <alignment horizontal="center" vertical="center" wrapText="1"/>
    </xf>
    <xf numFmtId="0" fontId="44" fillId="0" borderId="3" xfId="0" applyFont="1" applyBorder="1" applyAlignment="1">
      <alignment horizontal="center" vertical="center" wrapText="1"/>
    </xf>
    <xf numFmtId="0" fontId="44" fillId="0" borderId="4" xfId="0" applyFont="1" applyBorder="1" applyAlignment="1">
      <alignment horizontal="center" vertical="center" wrapText="1"/>
    </xf>
    <xf numFmtId="0" fontId="97" fillId="0" borderId="3" xfId="0" applyFont="1" applyBorder="1" applyAlignment="1">
      <alignment horizontal="center" vertical="center" wrapText="1"/>
    </xf>
    <xf numFmtId="0" fontId="97" fillId="0" borderId="4"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15" fillId="0" borderId="31" xfId="2" applyFont="1" applyBorder="1" applyAlignment="1">
      <alignment horizontal="center" vertical="center" wrapText="1"/>
    </xf>
    <xf numFmtId="0" fontId="15" fillId="0" borderId="2" xfId="2" applyFont="1" applyBorder="1" applyAlignment="1">
      <alignment horizontal="center" vertical="center" wrapText="1"/>
    </xf>
    <xf numFmtId="0" fontId="15" fillId="4" borderId="1" xfId="2" applyFont="1" applyFill="1" applyBorder="1" applyAlignment="1">
      <alignment horizontal="center" vertical="center"/>
    </xf>
    <xf numFmtId="0" fontId="3" fillId="11" borderId="1" xfId="2" applyFont="1" applyFill="1" applyBorder="1" applyAlignment="1">
      <alignment horizontal="center" vertical="center" wrapText="1"/>
    </xf>
    <xf numFmtId="0" fontId="3" fillId="11" borderId="32" xfId="2" applyFont="1" applyFill="1" applyBorder="1" applyAlignment="1">
      <alignment horizontal="center" vertical="center" wrapText="1"/>
    </xf>
    <xf numFmtId="0" fontId="3" fillId="11" borderId="12" xfId="2" applyFont="1" applyFill="1" applyBorder="1" applyAlignment="1">
      <alignment horizontal="center" vertical="center" wrapText="1"/>
    </xf>
    <xf numFmtId="0" fontId="3" fillId="11" borderId="47" xfId="2" applyFont="1" applyFill="1" applyBorder="1" applyAlignment="1">
      <alignment horizontal="center" vertical="center" wrapText="1"/>
    </xf>
    <xf numFmtId="0" fontId="3" fillId="11" borderId="13" xfId="2" applyFont="1" applyFill="1" applyBorder="1" applyAlignment="1">
      <alignment horizontal="center" vertical="center" wrapText="1"/>
    </xf>
    <xf numFmtId="0" fontId="3" fillId="11" borderId="35" xfId="3" applyFont="1" applyFill="1" applyBorder="1" applyAlignment="1">
      <alignment horizontal="center" vertical="center" wrapText="1"/>
    </xf>
    <xf numFmtId="0" fontId="3" fillId="11" borderId="38" xfId="3" applyFont="1" applyFill="1" applyBorder="1" applyAlignment="1">
      <alignment horizontal="center" vertical="center" wrapText="1"/>
    </xf>
    <xf numFmtId="0" fontId="3" fillId="11" borderId="17" xfId="3" applyFont="1" applyFill="1" applyBorder="1" applyAlignment="1">
      <alignment horizontal="center" vertical="center" wrapText="1"/>
    </xf>
    <xf numFmtId="0" fontId="3" fillId="11" borderId="16" xfId="3" applyFont="1" applyFill="1" applyBorder="1" applyAlignment="1">
      <alignment horizontal="center" vertical="center" wrapText="1"/>
    </xf>
    <xf numFmtId="0" fontId="3" fillId="3" borderId="35" xfId="3" applyFont="1" applyFill="1" applyBorder="1" applyAlignment="1">
      <alignment horizontal="center" vertical="center" wrapText="1"/>
    </xf>
    <xf numFmtId="0" fontId="3" fillId="3" borderId="35" xfId="3" applyFont="1" applyFill="1" applyBorder="1" applyAlignment="1">
      <alignment horizontal="center" vertical="center"/>
    </xf>
    <xf numFmtId="0" fontId="40" fillId="4" borderId="15" xfId="0" applyFont="1" applyFill="1" applyBorder="1" applyAlignment="1">
      <alignment horizontal="center" vertical="center" wrapText="1"/>
    </xf>
    <xf numFmtId="0" fontId="40" fillId="0" borderId="0" xfId="0" applyFont="1"/>
    <xf numFmtId="0" fontId="40" fillId="4" borderId="17" xfId="0" applyFont="1" applyFill="1" applyBorder="1" applyAlignment="1">
      <alignment horizontal="center" vertical="center" wrapText="1"/>
    </xf>
    <xf numFmtId="0" fontId="40" fillId="4" borderId="16" xfId="0" applyFont="1" applyFill="1" applyBorder="1" applyAlignment="1">
      <alignment horizontal="center" vertical="center" wrapText="1"/>
    </xf>
    <xf numFmtId="0" fontId="40" fillId="4" borderId="1" xfId="0" applyFont="1" applyFill="1" applyBorder="1" applyAlignment="1">
      <alignment horizontal="center" wrapText="1"/>
    </xf>
    <xf numFmtId="0" fontId="40" fillId="4" borderId="1" xfId="0" applyFont="1" applyFill="1" applyBorder="1" applyAlignment="1">
      <alignment horizontal="center"/>
    </xf>
    <xf numFmtId="0" fontId="48" fillId="0" borderId="0" xfId="0" applyFont="1"/>
    <xf numFmtId="2" fontId="40" fillId="0" borderId="1" xfId="0" applyNumberFormat="1" applyFont="1" applyBorder="1" applyAlignment="1">
      <alignment horizontal="center" vertical="center"/>
    </xf>
    <xf numFmtId="0" fontId="40" fillId="0" borderId="1" xfId="0" applyFont="1" applyBorder="1" applyAlignment="1">
      <alignment horizontal="center" vertical="center"/>
    </xf>
    <xf numFmtId="164" fontId="41" fillId="0" borderId="1" xfId="0" applyNumberFormat="1" applyFont="1" applyBorder="1" applyAlignment="1">
      <alignment horizontal="center" vertical="center"/>
    </xf>
    <xf numFmtId="0" fontId="31" fillId="0" borderId="10" xfId="0" applyFont="1" applyBorder="1" applyAlignment="1">
      <alignment horizontal="center" vertical="center" wrapText="1"/>
    </xf>
    <xf numFmtId="0" fontId="40" fillId="4" borderId="61" xfId="0" applyFont="1" applyFill="1" applyBorder="1" applyAlignment="1">
      <alignment wrapText="1"/>
    </xf>
    <xf numFmtId="0" fontId="40" fillId="4" borderId="24" xfId="0" applyFont="1" applyFill="1" applyBorder="1" applyAlignment="1">
      <alignment wrapText="1"/>
    </xf>
    <xf numFmtId="0" fontId="40" fillId="4" borderId="9" xfId="0" applyFont="1" applyFill="1" applyBorder="1" applyAlignment="1">
      <alignment wrapText="1"/>
    </xf>
    <xf numFmtId="0" fontId="40" fillId="4" borderId="14" xfId="0" applyFont="1" applyFill="1" applyBorder="1" applyAlignment="1">
      <alignment wrapText="1"/>
    </xf>
    <xf numFmtId="0" fontId="40" fillId="4" borderId="15" xfId="0" applyFont="1" applyFill="1" applyBorder="1" applyAlignment="1">
      <alignment wrapText="1"/>
    </xf>
    <xf numFmtId="0" fontId="40" fillId="4" borderId="14" xfId="0" applyFont="1" applyFill="1" applyBorder="1" applyAlignment="1">
      <alignment horizontal="center" vertical="center" wrapText="1"/>
    </xf>
    <xf numFmtId="0" fontId="40" fillId="4" borderId="8" xfId="0" applyFont="1" applyFill="1" applyBorder="1" applyAlignment="1">
      <alignment horizontal="center" vertical="center" wrapText="1"/>
    </xf>
    <xf numFmtId="0" fontId="40" fillId="4" borderId="52" xfId="0" applyFont="1" applyFill="1" applyBorder="1" applyAlignment="1">
      <alignment horizontal="center" vertical="center" wrapText="1"/>
    </xf>
    <xf numFmtId="0" fontId="40" fillId="4" borderId="23" xfId="0" applyFont="1" applyFill="1" applyBorder="1" applyAlignment="1">
      <alignment horizontal="center" vertical="center" wrapText="1"/>
    </xf>
    <xf numFmtId="0" fontId="40" fillId="4" borderId="53" xfId="0" applyFont="1" applyFill="1" applyBorder="1" applyAlignment="1">
      <alignment horizontal="center" vertical="center" wrapText="1"/>
    </xf>
    <xf numFmtId="0" fontId="40" fillId="0" borderId="0" xfId="0" applyFont="1" applyAlignment="1">
      <alignment vertical="center" wrapText="1"/>
    </xf>
    <xf numFmtId="164" fontId="41" fillId="0" borderId="19" xfId="0" applyNumberFormat="1" applyFont="1" applyBorder="1" applyAlignment="1">
      <alignment horizontal="center" vertical="center"/>
    </xf>
    <xf numFmtId="164" fontId="41" fillId="0" borderId="22" xfId="0" applyNumberFormat="1" applyFont="1" applyBorder="1" applyAlignment="1">
      <alignment horizontal="center" vertical="center"/>
    </xf>
    <xf numFmtId="0" fontId="40" fillId="0" borderId="25" xfId="0" applyFont="1" applyBorder="1" applyAlignment="1">
      <alignment vertical="center" wrapText="1"/>
    </xf>
    <xf numFmtId="0" fontId="40" fillId="0" borderId="36" xfId="0" applyFont="1" applyBorder="1" applyAlignment="1">
      <alignment vertical="center" wrapText="1"/>
    </xf>
    <xf numFmtId="0" fontId="40" fillId="0" borderId="26" xfId="0" applyFont="1" applyBorder="1" applyAlignment="1">
      <alignment vertical="center" wrapText="1"/>
    </xf>
    <xf numFmtId="0" fontId="40" fillId="0" borderId="37" xfId="0" applyFont="1" applyBorder="1" applyAlignment="1">
      <alignment vertical="center" wrapText="1"/>
    </xf>
    <xf numFmtId="0" fontId="40" fillId="8" borderId="19" xfId="0" applyFont="1" applyFill="1" applyBorder="1" applyAlignment="1">
      <alignment horizontal="center" vertical="center"/>
    </xf>
    <xf numFmtId="0" fontId="40" fillId="8" borderId="22" xfId="0" applyFont="1" applyFill="1" applyBorder="1" applyAlignment="1">
      <alignment horizontal="center" vertical="center"/>
    </xf>
    <xf numFmtId="0" fontId="40" fillId="8" borderId="20" xfId="0" applyFont="1" applyFill="1" applyBorder="1" applyAlignment="1">
      <alignment horizontal="center" vertical="center"/>
    </xf>
    <xf numFmtId="0" fontId="40" fillId="0" borderId="20" xfId="0" applyFont="1" applyBorder="1" applyAlignment="1">
      <alignment horizontal="center" vertical="center"/>
    </xf>
    <xf numFmtId="164" fontId="41" fillId="0" borderId="10" xfId="0" applyNumberFormat="1" applyFont="1" applyBorder="1" applyAlignment="1">
      <alignment horizontal="center" vertical="center"/>
    </xf>
    <xf numFmtId="0" fontId="40" fillId="4" borderId="3" xfId="0" applyFont="1" applyFill="1" applyBorder="1" applyAlignment="1">
      <alignment horizontal="center"/>
    </xf>
    <xf numFmtId="2" fontId="40" fillId="0" borderId="10" xfId="0" applyNumberFormat="1" applyFont="1" applyBorder="1" applyAlignment="1">
      <alignment horizontal="center" vertical="center"/>
    </xf>
    <xf numFmtId="0" fontId="40" fillId="0" borderId="10" xfId="0" applyFont="1" applyBorder="1" applyAlignment="1">
      <alignment horizontal="center" vertical="center"/>
    </xf>
    <xf numFmtId="0" fontId="40" fillId="4" borderId="8" xfId="0" applyFont="1" applyFill="1" applyBorder="1" applyAlignment="1">
      <alignment wrapText="1"/>
    </xf>
    <xf numFmtId="0" fontId="40" fillId="0" borderId="36" xfId="0" applyFont="1" applyBorder="1"/>
    <xf numFmtId="2" fontId="40" fillId="0" borderId="22" xfId="0" applyNumberFormat="1" applyFont="1" applyBorder="1" applyAlignment="1">
      <alignment horizontal="center" vertical="center"/>
    </xf>
    <xf numFmtId="0" fontId="40" fillId="8" borderId="28" xfId="0" applyFont="1" applyFill="1" applyBorder="1" applyAlignment="1">
      <alignment horizontal="center" vertical="center"/>
    </xf>
    <xf numFmtId="0" fontId="40" fillId="0" borderId="28" xfId="0" applyFont="1" applyBorder="1" applyAlignment="1">
      <alignment horizontal="center" vertical="center"/>
    </xf>
    <xf numFmtId="0" fontId="40" fillId="0" borderId="56" xfId="0" applyFont="1" applyBorder="1" applyAlignment="1">
      <alignment horizontal="center" vertical="center"/>
    </xf>
    <xf numFmtId="0" fontId="40" fillId="0" borderId="22" xfId="0" applyFont="1" applyBorder="1" applyAlignment="1">
      <alignment horizontal="center" vertical="center"/>
    </xf>
    <xf numFmtId="0" fontId="40" fillId="0" borderId="19" xfId="0" applyFont="1" applyBorder="1" applyAlignment="1">
      <alignment horizontal="center" vertical="center"/>
    </xf>
    <xf numFmtId="2" fontId="40" fillId="0" borderId="19" xfId="0" applyNumberFormat="1" applyFont="1" applyBorder="1" applyAlignment="1">
      <alignment horizontal="center" vertical="center"/>
    </xf>
    <xf numFmtId="0" fontId="40" fillId="4" borderId="3" xfId="0" applyFont="1" applyFill="1" applyBorder="1" applyAlignment="1">
      <alignment horizontal="center" wrapText="1"/>
    </xf>
    <xf numFmtId="0" fontId="40" fillId="4" borderId="11" xfId="0" applyFont="1" applyFill="1" applyBorder="1" applyAlignment="1">
      <alignment horizontal="center" wrapText="1"/>
    </xf>
    <xf numFmtId="0" fontId="40" fillId="4" borderId="4" xfId="0" applyFont="1" applyFill="1" applyBorder="1" applyAlignment="1">
      <alignment horizontal="center" wrapText="1"/>
    </xf>
    <xf numFmtId="0" fontId="40" fillId="4" borderId="19" xfId="0" applyFont="1" applyFill="1" applyBorder="1" applyAlignment="1">
      <alignment horizontal="center"/>
    </xf>
    <xf numFmtId="0" fontId="40" fillId="4" borderId="46" xfId="0" applyFont="1" applyFill="1" applyBorder="1" applyAlignment="1">
      <alignment horizontal="center"/>
    </xf>
    <xf numFmtId="0" fontId="40" fillId="4" borderId="22" xfId="0" applyFont="1" applyFill="1" applyBorder="1" applyAlignment="1">
      <alignment horizontal="center"/>
    </xf>
    <xf numFmtId="0" fontId="44" fillId="8" borderId="39" xfId="9" applyFont="1" applyFill="1" applyBorder="1" applyAlignment="1">
      <alignment horizontal="left" vertical="center" wrapText="1"/>
    </xf>
    <xf numFmtId="0" fontId="44" fillId="8" borderId="0" xfId="9" applyFont="1" applyFill="1" applyAlignment="1">
      <alignment horizontal="left" vertical="center" wrapText="1"/>
    </xf>
    <xf numFmtId="0" fontId="37" fillId="0" borderId="40" xfId="9" applyFont="1" applyBorder="1" applyAlignment="1">
      <alignment horizontal="left" vertical="center"/>
    </xf>
    <xf numFmtId="0" fontId="44" fillId="0" borderId="0" xfId="9" applyFont="1" applyAlignment="1">
      <alignment horizontal="left"/>
    </xf>
    <xf numFmtId="43" fontId="44" fillId="0" borderId="0" xfId="8" applyFont="1" applyBorder="1" applyAlignment="1">
      <alignment horizontal="left" vertical="center" wrapText="1"/>
    </xf>
    <xf numFmtId="0" fontId="33" fillId="4" borderId="1" xfId="3" applyFont="1" applyFill="1" applyBorder="1" applyAlignment="1">
      <alignment horizontal="center" vertical="center"/>
    </xf>
    <xf numFmtId="0" fontId="33" fillId="4" borderId="1" xfId="3" applyFont="1" applyFill="1" applyBorder="1" applyAlignment="1">
      <alignment horizontal="center" vertical="center" wrapText="1"/>
    </xf>
    <xf numFmtId="0" fontId="33" fillId="0" borderId="0" xfId="9" applyFont="1" applyAlignment="1">
      <alignment horizontal="left" vertical="center" wrapText="1"/>
    </xf>
    <xf numFmtId="0" fontId="33" fillId="8" borderId="1" xfId="3" applyFont="1" applyFill="1" applyBorder="1" applyAlignment="1">
      <alignment horizontal="center" vertical="center" wrapText="1"/>
    </xf>
    <xf numFmtId="0" fontId="33" fillId="8" borderId="1" xfId="3" applyFont="1" applyFill="1" applyBorder="1" applyAlignment="1">
      <alignment horizontal="center" vertical="center"/>
    </xf>
    <xf numFmtId="0" fontId="34" fillId="4" borderId="1" xfId="9" applyFont="1" applyFill="1" applyBorder="1" applyAlignment="1">
      <alignment horizontal="center"/>
    </xf>
    <xf numFmtId="0" fontId="33" fillId="8" borderId="31" xfId="3" applyFont="1" applyFill="1" applyBorder="1" applyAlignment="1">
      <alignment horizontal="center" vertical="center" wrapText="1"/>
    </xf>
    <xf numFmtId="0" fontId="33" fillId="8" borderId="7" xfId="3" applyFont="1" applyFill="1" applyBorder="1" applyAlignment="1">
      <alignment horizontal="center" vertical="center" wrapText="1"/>
    </xf>
    <xf numFmtId="0" fontId="33" fillId="8" borderId="2" xfId="3" applyFont="1" applyFill="1" applyBorder="1" applyAlignment="1">
      <alignment horizontal="center" vertical="center" wrapText="1"/>
    </xf>
    <xf numFmtId="0" fontId="3" fillId="2" borderId="1" xfId="0" applyFont="1" applyFill="1" applyBorder="1" applyAlignment="1">
      <alignment horizontal="center" vertical="center" wrapText="1"/>
    </xf>
    <xf numFmtId="0" fontId="29" fillId="0" borderId="0" xfId="0" applyFont="1" applyAlignment="1">
      <alignment horizontal="center" wrapText="1"/>
    </xf>
    <xf numFmtId="0" fontId="13" fillId="0" borderId="31" xfId="0" applyFont="1" applyBorder="1" applyAlignment="1">
      <alignment wrapText="1"/>
    </xf>
    <xf numFmtId="0" fontId="13" fillId="0" borderId="7" xfId="0" applyFont="1" applyBorder="1" applyAlignment="1">
      <alignment wrapText="1"/>
    </xf>
    <xf numFmtId="0" fontId="13" fillId="0" borderId="6" xfId="0" applyFont="1" applyBorder="1" applyAlignment="1">
      <alignment wrapText="1"/>
    </xf>
    <xf numFmtId="3" fontId="76" fillId="8" borderId="10" xfId="0" applyNumberFormat="1" applyFont="1" applyFill="1" applyBorder="1" applyAlignment="1">
      <alignment horizontal="center" vertical="center" wrapText="1"/>
    </xf>
    <xf numFmtId="3" fontId="76" fillId="8" borderId="19" xfId="0" applyNumberFormat="1" applyFont="1" applyFill="1" applyBorder="1" applyAlignment="1">
      <alignment horizontal="center" vertical="center" wrapText="1"/>
    </xf>
    <xf numFmtId="0" fontId="72" fillId="16" borderId="1" xfId="0" applyFont="1" applyFill="1" applyBorder="1" applyAlignment="1">
      <alignment horizontal="right"/>
    </xf>
    <xf numFmtId="0" fontId="33" fillId="0" borderId="1" xfId="3" applyFont="1" applyBorder="1" applyAlignment="1">
      <alignment horizontal="left" vertical="top" wrapText="1"/>
    </xf>
    <xf numFmtId="3" fontId="19" fillId="0" borderId="41" xfId="0" applyNumberFormat="1" applyFont="1" applyBorder="1" applyAlignment="1">
      <alignment horizontal="center" vertical="center" wrapText="1"/>
    </xf>
    <xf numFmtId="0" fontId="72" fillId="16" borderId="10" xfId="0" applyFont="1" applyFill="1" applyBorder="1" applyAlignment="1">
      <alignment horizontal="center" vertical="center" wrapText="1"/>
    </xf>
    <xf numFmtId="0" fontId="76" fillId="4" borderId="1" xfId="0" applyFont="1" applyFill="1" applyBorder="1" applyAlignment="1">
      <alignment horizontal="center"/>
    </xf>
    <xf numFmtId="0" fontId="27" fillId="16" borderId="10" xfId="0" applyFont="1" applyFill="1" applyBorder="1" applyAlignment="1">
      <alignment horizontal="center" vertical="center" wrapText="1"/>
    </xf>
    <xf numFmtId="0" fontId="33" fillId="8" borderId="10" xfId="3" applyFont="1" applyFill="1" applyBorder="1" applyAlignment="1">
      <alignment horizontal="center" vertical="center" wrapText="1"/>
    </xf>
    <xf numFmtId="0" fontId="19" fillId="8" borderId="10" xfId="0" applyFont="1" applyFill="1" applyBorder="1" applyAlignment="1">
      <alignment horizontal="center"/>
    </xf>
    <xf numFmtId="3" fontId="33" fillId="0" borderId="31" xfId="3" applyNumberFormat="1" applyFont="1" applyBorder="1" applyAlignment="1">
      <alignment horizontal="right" vertical="center"/>
    </xf>
    <xf numFmtId="3" fontId="33" fillId="0" borderId="7" xfId="3" applyNumberFormat="1" applyFont="1" applyBorder="1" applyAlignment="1">
      <alignment horizontal="right" vertical="center"/>
    </xf>
    <xf numFmtId="0" fontId="72" fillId="16" borderId="10" xfId="0" applyFont="1" applyFill="1" applyBorder="1" applyAlignment="1">
      <alignment horizontal="center" vertical="center"/>
    </xf>
    <xf numFmtId="3" fontId="33" fillId="0" borderId="2" xfId="3" applyNumberFormat="1" applyFont="1" applyBorder="1" applyAlignment="1">
      <alignment horizontal="right" vertical="center"/>
    </xf>
    <xf numFmtId="0" fontId="3" fillId="2" borderId="11" xfId="0" applyFont="1" applyFill="1" applyBorder="1" applyAlignment="1">
      <alignment horizontal="center" vertical="center" wrapText="1"/>
    </xf>
    <xf numFmtId="0" fontId="31" fillId="4" borderId="38" xfId="0" applyFont="1" applyFill="1" applyBorder="1" applyAlignment="1">
      <alignment horizontal="center" vertical="center" wrapText="1"/>
    </xf>
    <xf numFmtId="0" fontId="31" fillId="4" borderId="17" xfId="0" applyFont="1" applyFill="1" applyBorder="1" applyAlignment="1">
      <alignment horizontal="center" vertical="center" wrapText="1"/>
    </xf>
    <xf numFmtId="0" fontId="31" fillId="4" borderId="16" xfId="0" applyFont="1" applyFill="1" applyBorder="1" applyAlignment="1">
      <alignment horizontal="center" vertical="center" wrapText="1"/>
    </xf>
    <xf numFmtId="0" fontId="31" fillId="2" borderId="31" xfId="0" applyFont="1" applyFill="1" applyBorder="1" applyAlignment="1">
      <alignment horizontal="center" vertical="center" wrapText="1"/>
    </xf>
    <xf numFmtId="0" fontId="31" fillId="2" borderId="7" xfId="0" applyFont="1" applyFill="1" applyBorder="1" applyAlignment="1">
      <alignment horizontal="center" vertical="center" wrapText="1"/>
    </xf>
    <xf numFmtId="0" fontId="31" fillId="2" borderId="2" xfId="0" applyFont="1" applyFill="1" applyBorder="1" applyAlignment="1">
      <alignment horizontal="center" vertical="center" wrapText="1"/>
    </xf>
    <xf numFmtId="0" fontId="31" fillId="2" borderId="3" xfId="0" applyFont="1" applyFill="1" applyBorder="1" applyAlignment="1">
      <alignment horizontal="center" vertical="center" wrapText="1"/>
    </xf>
    <xf numFmtId="0" fontId="31" fillId="2" borderId="5" xfId="0" applyFont="1" applyFill="1" applyBorder="1" applyAlignment="1">
      <alignment horizontal="center" vertical="center" wrapText="1"/>
    </xf>
    <xf numFmtId="0" fontId="31" fillId="3" borderId="14" xfId="0" applyFont="1" applyFill="1" applyBorder="1" applyAlignment="1">
      <alignment horizontal="center" vertical="center" wrapText="1"/>
    </xf>
    <xf numFmtId="0" fontId="31" fillId="3" borderId="54" xfId="0" applyFont="1" applyFill="1" applyBorder="1" applyAlignment="1">
      <alignment horizontal="center" vertical="center" wrapText="1"/>
    </xf>
    <xf numFmtId="0" fontId="72" fillId="0" borderId="0" xfId="0" applyFont="1" applyAlignment="1">
      <alignment horizontal="center" vertical="center"/>
    </xf>
    <xf numFmtId="0" fontId="5" fillId="0" borderId="0" xfId="0" applyFont="1" applyAlignment="1">
      <alignment horizontal="left" wrapText="1"/>
    </xf>
    <xf numFmtId="0" fontId="31" fillId="4" borderId="35" xfId="0" applyFont="1" applyFill="1" applyBorder="1" applyAlignment="1">
      <alignment horizontal="center" vertical="center" wrapText="1"/>
    </xf>
    <xf numFmtId="0" fontId="31" fillId="4" borderId="14" xfId="0" applyFont="1" applyFill="1" applyBorder="1" applyAlignment="1">
      <alignment horizontal="center" vertical="center" wrapText="1"/>
    </xf>
    <xf numFmtId="0" fontId="31" fillId="4" borderId="3" xfId="0" applyFont="1" applyFill="1" applyBorder="1" applyAlignment="1">
      <alignment horizontal="center" vertical="center" wrapText="1"/>
    </xf>
    <xf numFmtId="0" fontId="31" fillId="4" borderId="11" xfId="0" applyFont="1" applyFill="1" applyBorder="1" applyAlignment="1">
      <alignment horizontal="center" vertical="center" wrapText="1"/>
    </xf>
    <xf numFmtId="0" fontId="31" fillId="4" borderId="15" xfId="0" applyFont="1" applyFill="1" applyBorder="1" applyAlignment="1">
      <alignment horizontal="center" vertical="center" wrapText="1"/>
    </xf>
    <xf numFmtId="0" fontId="31" fillId="4" borderId="54"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5" borderId="38"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14" xfId="0" applyFont="1" applyFill="1" applyBorder="1" applyAlignment="1">
      <alignment wrapText="1"/>
    </xf>
    <xf numFmtId="0" fontId="3" fillId="5" borderId="15" xfId="0" applyFont="1" applyFill="1" applyBorder="1" applyAlignment="1">
      <alignment wrapText="1"/>
    </xf>
    <xf numFmtId="0" fontId="3" fillId="5" borderId="8" xfId="0" applyFont="1" applyFill="1" applyBorder="1" applyAlignment="1">
      <alignment wrapText="1"/>
    </xf>
    <xf numFmtId="0" fontId="0" fillId="0" borderId="0" xfId="0" applyAlignment="1">
      <alignment horizontal="left" vertical="center" wrapText="1"/>
    </xf>
    <xf numFmtId="0" fontId="3" fillId="3" borderId="14" xfId="0" applyFont="1" applyFill="1" applyBorder="1" applyAlignment="1">
      <alignment vertical="center" wrapText="1"/>
    </xf>
    <xf numFmtId="0" fontId="3" fillId="3" borderId="8"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8" fillId="8" borderId="19" xfId="0" applyFont="1" applyFill="1" applyBorder="1" applyAlignment="1">
      <alignment horizontal="center" vertical="center" wrapText="1"/>
    </xf>
    <xf numFmtId="0" fontId="15" fillId="4" borderId="43" xfId="0" applyFont="1" applyFill="1" applyBorder="1" applyAlignment="1">
      <alignment horizontal="center" vertical="center"/>
    </xf>
    <xf numFmtId="0" fontId="15" fillId="4" borderId="57" xfId="0" applyFont="1" applyFill="1" applyBorder="1" applyAlignment="1">
      <alignment horizontal="center" vertical="center"/>
    </xf>
    <xf numFmtId="0" fontId="15" fillId="4" borderId="44" xfId="0" applyFont="1" applyFill="1" applyBorder="1" applyAlignment="1">
      <alignment horizontal="center" vertical="center"/>
    </xf>
    <xf numFmtId="0" fontId="15" fillId="4" borderId="58" xfId="0" applyFont="1" applyFill="1" applyBorder="1" applyAlignment="1">
      <alignment horizontal="center" vertical="center"/>
    </xf>
    <xf numFmtId="0" fontId="58" fillId="0" borderId="10" xfId="0" applyFont="1" applyBorder="1" applyAlignment="1">
      <alignment horizontal="center" vertical="center"/>
    </xf>
    <xf numFmtId="0" fontId="58" fillId="0" borderId="19" xfId="0" applyFont="1" applyBorder="1" applyAlignment="1">
      <alignment horizontal="center" vertical="center" wrapText="1"/>
    </xf>
    <xf numFmtId="0" fontId="34" fillId="0" borderId="19" xfId="0" applyFont="1" applyBorder="1" applyAlignment="1">
      <alignment horizontal="center" vertical="center" wrapText="1"/>
    </xf>
    <xf numFmtId="0" fontId="86" fillId="8" borderId="19" xfId="0" applyFont="1" applyFill="1" applyBorder="1" applyAlignment="1">
      <alignment horizontal="center"/>
    </xf>
    <xf numFmtId="0" fontId="86" fillId="8" borderId="22" xfId="0" applyFont="1" applyFill="1" applyBorder="1" applyAlignment="1">
      <alignment horizontal="center"/>
    </xf>
    <xf numFmtId="0" fontId="16" fillId="10" borderId="60" xfId="0" applyFont="1" applyFill="1" applyBorder="1" applyAlignment="1">
      <alignment horizontal="center" vertical="center" wrapText="1"/>
    </xf>
    <xf numFmtId="0" fontId="16" fillId="10" borderId="55" xfId="0" applyFont="1" applyFill="1" applyBorder="1" applyAlignment="1">
      <alignment horizontal="center" vertical="center" wrapText="1"/>
    </xf>
    <xf numFmtId="0" fontId="16" fillId="10" borderId="45" xfId="0" applyFont="1" applyFill="1" applyBorder="1" applyAlignment="1">
      <alignment horizontal="center" vertical="center" wrapText="1"/>
    </xf>
    <xf numFmtId="0" fontId="4" fillId="0" borderId="0" xfId="0" applyFont="1" applyAlignment="1">
      <alignment horizontal="left" wrapText="1"/>
    </xf>
    <xf numFmtId="0" fontId="5" fillId="2" borderId="10"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15" fillId="4" borderId="1" xfId="2" applyFont="1" applyFill="1" applyBorder="1" applyAlignment="1">
      <alignment horizontal="center" vertical="center" wrapText="1"/>
    </xf>
    <xf numFmtId="0" fontId="19" fillId="2" borderId="10"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19" fillId="2" borderId="22" xfId="0" applyFont="1" applyFill="1" applyBorder="1" applyAlignment="1">
      <alignment horizontal="center" vertical="center" wrapText="1"/>
    </xf>
    <xf numFmtId="0" fontId="15" fillId="8" borderId="51" xfId="3" applyFont="1" applyFill="1" applyBorder="1" applyAlignment="1">
      <alignment horizontal="center" vertical="center" wrapText="1"/>
    </xf>
    <xf numFmtId="0" fontId="15" fillId="8" borderId="51" xfId="3" applyFont="1" applyFill="1" applyBorder="1" applyAlignment="1">
      <alignment horizontal="center" vertical="center"/>
    </xf>
    <xf numFmtId="0" fontId="15" fillId="4" borderId="2" xfId="2" applyFont="1" applyFill="1" applyBorder="1" applyAlignment="1">
      <alignment horizontal="center" vertical="center" wrapText="1"/>
    </xf>
    <xf numFmtId="0" fontId="3" fillId="2" borderId="10" xfId="0" applyFont="1" applyFill="1" applyBorder="1" applyAlignment="1">
      <alignment horizontal="center" vertical="center" wrapText="1"/>
    </xf>
    <xf numFmtId="0" fontId="15" fillId="4" borderId="39" xfId="2" applyFont="1" applyFill="1" applyBorder="1" applyAlignment="1">
      <alignment horizontal="center" vertical="center" wrapText="1"/>
    </xf>
    <xf numFmtId="0" fontId="15" fillId="4" borderId="13" xfId="2" applyFont="1" applyFill="1" applyBorder="1" applyAlignment="1">
      <alignment horizontal="center" vertical="center" wrapText="1"/>
    </xf>
    <xf numFmtId="0" fontId="3" fillId="2" borderId="6"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34" xfId="0" applyFont="1" applyFill="1" applyBorder="1" applyAlignment="1">
      <alignment horizontal="center" vertical="center" wrapText="1"/>
    </xf>
    <xf numFmtId="3" fontId="74" fillId="0" borderId="3" xfId="0" applyNumberFormat="1" applyFont="1" applyBorder="1" applyAlignment="1">
      <alignment horizontal="center" vertical="center"/>
    </xf>
    <xf numFmtId="3" fontId="74" fillId="0" borderId="4" xfId="0" applyNumberFormat="1" applyFont="1" applyBorder="1" applyAlignment="1">
      <alignment horizontal="center" vertical="center"/>
    </xf>
    <xf numFmtId="3" fontId="0" fillId="0" borderId="0" xfId="0" applyNumberFormat="1"/>
    <xf numFmtId="3" fontId="12" fillId="24" borderId="10" xfId="0" applyNumberFormat="1" applyFont="1" applyFill="1" applyBorder="1" applyAlignment="1">
      <alignment horizontal="right" wrapText="1"/>
    </xf>
    <xf numFmtId="3" fontId="42" fillId="8" borderId="28" xfId="0" applyNumberFormat="1" applyFont="1" applyFill="1" applyBorder="1" applyAlignment="1">
      <alignment horizontal="center" vertical="center"/>
    </xf>
    <xf numFmtId="3" fontId="42" fillId="0" borderId="28" xfId="0" applyNumberFormat="1" applyFont="1" applyBorder="1" applyAlignment="1">
      <alignment horizontal="center" vertical="center"/>
    </xf>
    <xf numFmtId="3" fontId="13" fillId="0" borderId="22" xfId="0" applyNumberFormat="1" applyFont="1" applyBorder="1" applyAlignment="1">
      <alignment horizontal="center" vertical="center"/>
    </xf>
    <xf numFmtId="2" fontId="13" fillId="3" borderId="63" xfId="0" applyNumberFormat="1" applyFont="1" applyFill="1" applyBorder="1" applyAlignment="1">
      <alignment horizontal="center" vertical="center"/>
    </xf>
    <xf numFmtId="0" fontId="13" fillId="0" borderId="63" xfId="0" applyFont="1" applyBorder="1" applyAlignment="1">
      <alignment horizontal="center" vertical="center"/>
    </xf>
    <xf numFmtId="0" fontId="93" fillId="0" borderId="64" xfId="0" applyFont="1" applyBorder="1" applyAlignment="1">
      <alignment horizontal="center" vertical="center"/>
    </xf>
    <xf numFmtId="1" fontId="13" fillId="8" borderId="65" xfId="0" applyNumberFormat="1" applyFont="1" applyFill="1" applyBorder="1" applyAlignment="1">
      <alignment horizontal="center" vertical="center"/>
    </xf>
    <xf numFmtId="1" fontId="13" fillId="0" borderId="66" xfId="0" applyNumberFormat="1" applyFont="1" applyBorder="1" applyAlignment="1">
      <alignment horizontal="center" vertical="center"/>
    </xf>
    <xf numFmtId="1" fontId="13" fillId="0" borderId="63" xfId="0" applyNumberFormat="1" applyFont="1" applyBorder="1" applyAlignment="1">
      <alignment horizontal="center" vertical="center"/>
    </xf>
    <xf numFmtId="3" fontId="13" fillId="0" borderId="66" xfId="0" applyNumberFormat="1" applyFont="1" applyBorder="1" applyAlignment="1">
      <alignment horizontal="center" vertical="center"/>
    </xf>
    <xf numFmtId="3" fontId="13" fillId="0" borderId="65" xfId="1" applyNumberFormat="1" applyFont="1" applyBorder="1" applyAlignment="1">
      <alignment horizontal="center" vertical="center"/>
    </xf>
    <xf numFmtId="3" fontId="13" fillId="0" borderId="66" xfId="1" applyNumberFormat="1" applyFont="1" applyBorder="1" applyAlignment="1">
      <alignment horizontal="center" vertical="center"/>
    </xf>
    <xf numFmtId="164" fontId="40" fillId="0" borderId="1" xfId="0" applyNumberFormat="1" applyFont="1" applyBorder="1" applyAlignment="1">
      <alignment horizontal="center" vertical="center"/>
    </xf>
  </cellXfs>
  <cellStyles count="10">
    <cellStyle name="Comma" xfId="1" builtinId="3"/>
    <cellStyle name="Comma 2" xfId="8" xr:uid="{7469DB39-1C78-4344-A672-9FD461393E07}"/>
    <cellStyle name="Comma 5" xfId="6" xr:uid="{FFBB6F8D-D49C-4FA8-BD76-2421C1B92C8D}"/>
    <cellStyle name="Hyperlink" xfId="7" builtinId="8"/>
    <cellStyle name="Normal" xfId="0" builtinId="0"/>
    <cellStyle name="Normal 10 2 2" xfId="4" xr:uid="{B1160B4F-1EB4-4825-864F-272F1953BB75}"/>
    <cellStyle name="Normal 2" xfId="2" xr:uid="{28443368-1DC0-4D0A-8936-475D97D961D7}"/>
    <cellStyle name="Normal 2 3" xfId="9" xr:uid="{7DAC9340-DF23-4DED-B808-9A095BBEAC7A}"/>
    <cellStyle name="Normal 3 10 2" xfId="3" xr:uid="{EFF6B69A-CFFC-4B80-B38E-CA36D3C75E3B}"/>
    <cellStyle name="Normal 3 3" xfId="5" xr:uid="{C0A01520-9E7B-4C32-AB22-6D2500429A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s://baw.nfz.gov.pl/NFZ/document/43180/Zarzadzenie-23_2024_DSOZ" TargetMode="External"/><Relationship Id="rId2" Type="http://schemas.openxmlformats.org/officeDocument/2006/relationships/hyperlink" Target="https://www.tervisekassa.ee/partnerile/raviasutusele/tervishoiuteenuste-loetelu" TargetMode="External"/><Relationship Id="rId1" Type="http://schemas.openxmlformats.org/officeDocument/2006/relationships/hyperlink" Target="https://www.e-tar.lt/portal/lt/legalAct/e94bd2d05b8211edbc04912defe897d1/asr" TargetMode="External"/><Relationship Id="rId5" Type="http://schemas.openxmlformats.org/officeDocument/2006/relationships/printerSettings" Target="../printerSettings/printerSettings24.bin"/><Relationship Id="rId4" Type="http://schemas.openxmlformats.org/officeDocument/2006/relationships/hyperlink" Target="https://www.vmnvd.gov.lv/lv/drg-grupas-un-raditaji-maksajuma-aprekinam" TargetMode="Externa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79CE3-28F9-4E5A-8B17-E4F809AFE0FC}">
  <dimension ref="A1:Q111"/>
  <sheetViews>
    <sheetView tabSelected="1" view="pageBreakPreview" zoomScale="60" zoomScaleNormal="60" workbookViewId="0">
      <pane ySplit="5" topLeftCell="A84" activePane="bottomLeft" state="frozen"/>
      <selection pane="bottomLeft" activeCell="B92" sqref="B92"/>
    </sheetView>
  </sheetViews>
  <sheetFormatPr defaultRowHeight="15"/>
  <cols>
    <col min="1" max="1" width="14.140625" style="981" customWidth="1"/>
    <col min="2" max="2" width="67.7109375" style="485" customWidth="1"/>
    <col min="3" max="3" width="42" style="485" customWidth="1"/>
    <col min="4" max="4" width="38.42578125" style="956" customWidth="1"/>
    <col min="5" max="5" width="30.5703125" style="1137" customWidth="1"/>
    <col min="6" max="8" width="20.140625" customWidth="1"/>
    <col min="9" max="9" width="17" hidden="1" customWidth="1"/>
    <col min="10" max="11" width="17" customWidth="1"/>
    <col min="12" max="13" width="29.140625" customWidth="1"/>
    <col min="14" max="14" width="29.140625" style="485" customWidth="1"/>
    <col min="15" max="16" width="29.140625" style="871" customWidth="1"/>
    <col min="17" max="17" width="22.42578125" style="485" customWidth="1"/>
  </cols>
  <sheetData>
    <row r="1" spans="1:17" ht="9" customHeight="1">
      <c r="A1" s="968"/>
      <c r="B1" s="983"/>
      <c r="C1" s="983"/>
      <c r="D1" s="943"/>
      <c r="E1" s="1122"/>
      <c r="F1" s="79"/>
      <c r="G1" s="79"/>
      <c r="H1" s="79"/>
      <c r="I1" s="79"/>
      <c r="J1" s="79"/>
      <c r="K1" s="79"/>
      <c r="L1" s="79"/>
      <c r="M1" s="79"/>
      <c r="N1" s="983"/>
      <c r="O1" s="1010"/>
      <c r="P1" s="1010"/>
      <c r="Q1" s="983"/>
    </row>
    <row r="2" spans="1:17" ht="20.25" customHeight="1">
      <c r="B2" s="1312"/>
      <c r="C2" s="1312"/>
      <c r="D2" s="1312"/>
      <c r="E2" s="1312"/>
      <c r="F2" s="1312"/>
      <c r="G2" s="1312"/>
      <c r="H2" s="1312"/>
      <c r="I2" s="1312"/>
      <c r="J2" s="1312"/>
      <c r="K2" s="1312"/>
      <c r="L2" s="1312"/>
      <c r="M2" s="1313" t="s">
        <v>1010</v>
      </c>
      <c r="O2" s="1312"/>
      <c r="Q2" s="1312"/>
    </row>
    <row r="3" spans="1:17" ht="6.75" customHeight="1">
      <c r="A3" s="968"/>
      <c r="B3" s="983"/>
      <c r="C3" s="983"/>
      <c r="D3" s="943"/>
      <c r="E3" s="1122"/>
      <c r="F3" s="79"/>
      <c r="G3" s="79"/>
      <c r="H3" s="79"/>
      <c r="I3" s="79"/>
      <c r="J3" s="79"/>
      <c r="K3" s="79"/>
      <c r="L3" s="79"/>
      <c r="M3" s="79"/>
      <c r="N3" s="983"/>
      <c r="O3" s="1010"/>
      <c r="P3" s="1010"/>
      <c r="Q3" s="983"/>
    </row>
    <row r="4" spans="1:17" ht="60" customHeight="1">
      <c r="A4" s="1418" t="s">
        <v>0</v>
      </c>
      <c r="B4" s="1435" t="s">
        <v>1</v>
      </c>
      <c r="C4" s="1437" t="s">
        <v>2</v>
      </c>
      <c r="D4" s="1439" t="s">
        <v>3</v>
      </c>
      <c r="E4" s="1419" t="s">
        <v>4</v>
      </c>
      <c r="F4" s="1432" t="s">
        <v>5</v>
      </c>
      <c r="G4" s="1432"/>
      <c r="H4" s="1432"/>
      <c r="I4" s="1433" t="s">
        <v>6</v>
      </c>
      <c r="J4" s="1433"/>
      <c r="K4" s="1433"/>
      <c r="L4" s="1433"/>
      <c r="M4" s="1433"/>
      <c r="N4" s="1421" t="s">
        <v>7</v>
      </c>
      <c r="O4" s="1421" t="s">
        <v>8</v>
      </c>
      <c r="P4" s="1421" t="s">
        <v>9</v>
      </c>
      <c r="Q4" s="1421" t="s">
        <v>10</v>
      </c>
    </row>
    <row r="5" spans="1:17" ht="63">
      <c r="A5" s="1434"/>
      <c r="B5" s="1436"/>
      <c r="C5" s="1438"/>
      <c r="D5" s="1440"/>
      <c r="E5" s="1420"/>
      <c r="F5" s="425" t="s">
        <v>11</v>
      </c>
      <c r="G5" s="425" t="s">
        <v>12</v>
      </c>
      <c r="H5" s="425" t="s">
        <v>13</v>
      </c>
      <c r="I5" s="425" t="s">
        <v>11</v>
      </c>
      <c r="J5" s="425" t="s">
        <v>12</v>
      </c>
      <c r="K5" s="425" t="s">
        <v>13</v>
      </c>
      <c r="L5" s="426" t="s">
        <v>14</v>
      </c>
      <c r="M5" s="427" t="s">
        <v>15</v>
      </c>
      <c r="N5" s="1422"/>
      <c r="O5" s="1422"/>
      <c r="P5" s="1422"/>
      <c r="Q5" s="1422"/>
    </row>
    <row r="6" spans="1:17" s="428" customFormat="1" ht="15.75">
      <c r="A6" s="1441" t="s">
        <v>16</v>
      </c>
      <c r="B6" s="1442"/>
      <c r="C6" s="1442"/>
      <c r="D6" s="1443"/>
      <c r="E6" s="1123"/>
      <c r="F6" s="1311">
        <f>F10+F11</f>
        <v>114933145.40000001</v>
      </c>
      <c r="G6" s="1311">
        <f t="shared" ref="G6:M6" si="0">G10+G11</f>
        <v>115555916.40000001</v>
      </c>
      <c r="H6" s="1311">
        <f t="shared" si="0"/>
        <v>116388143.40000001</v>
      </c>
      <c r="I6" s="1311">
        <f t="shared" si="0"/>
        <v>0</v>
      </c>
      <c r="J6" s="1311">
        <f>J10+J11</f>
        <v>41342156.946199998</v>
      </c>
      <c r="K6" s="1311">
        <f t="shared" si="0"/>
        <v>46198636.107669994</v>
      </c>
      <c r="L6" s="1311">
        <f t="shared" si="0"/>
        <v>0</v>
      </c>
      <c r="M6" s="1311">
        <f t="shared" si="0"/>
        <v>47128221.552019998</v>
      </c>
      <c r="N6" s="429"/>
      <c r="O6" s="429"/>
      <c r="P6" s="429"/>
      <c r="Q6" s="429"/>
    </row>
    <row r="7" spans="1:17" ht="15.75">
      <c r="A7" s="939"/>
      <c r="B7" s="1418" t="s">
        <v>17</v>
      </c>
      <c r="C7" s="1418"/>
      <c r="D7" s="1418"/>
      <c r="E7" s="1124"/>
      <c r="F7" s="437">
        <f>F10</f>
        <v>114933145.40000001</v>
      </c>
      <c r="G7" s="437">
        <f t="shared" ref="G7:M7" si="1">G10</f>
        <v>115374416.40000001</v>
      </c>
      <c r="H7" s="437">
        <f t="shared" si="1"/>
        <v>115565343.40000001</v>
      </c>
      <c r="I7" s="437">
        <f t="shared" si="1"/>
        <v>0</v>
      </c>
      <c r="J7" s="437">
        <f t="shared" si="1"/>
        <v>41342156.946199998</v>
      </c>
      <c r="K7" s="437">
        <f t="shared" si="1"/>
        <v>46198636.107669994</v>
      </c>
      <c r="L7" s="437">
        <f t="shared" si="1"/>
        <v>0</v>
      </c>
      <c r="M7" s="437">
        <f t="shared" si="1"/>
        <v>47128221.552019998</v>
      </c>
      <c r="N7" s="80"/>
      <c r="O7" s="80"/>
      <c r="P7" s="80"/>
      <c r="Q7" s="80"/>
    </row>
    <row r="8" spans="1:17" ht="15.75">
      <c r="A8" s="939"/>
      <c r="B8" s="1418" t="s">
        <v>18</v>
      </c>
      <c r="C8" s="1418"/>
      <c r="D8" s="1418"/>
      <c r="E8" s="1124"/>
      <c r="F8" s="437">
        <f>F11</f>
        <v>0</v>
      </c>
      <c r="G8" s="437">
        <f t="shared" ref="G8:M8" si="2">G11</f>
        <v>181500</v>
      </c>
      <c r="H8" s="437">
        <f t="shared" si="2"/>
        <v>822800</v>
      </c>
      <c r="I8" s="437">
        <f t="shared" si="2"/>
        <v>0</v>
      </c>
      <c r="J8" s="437">
        <f t="shared" si="2"/>
        <v>0</v>
      </c>
      <c r="K8" s="437">
        <f t="shared" si="2"/>
        <v>0</v>
      </c>
      <c r="L8" s="437">
        <f t="shared" si="2"/>
        <v>0</v>
      </c>
      <c r="M8" s="437">
        <f t="shared" si="2"/>
        <v>0</v>
      </c>
      <c r="N8" s="80"/>
      <c r="O8" s="80"/>
      <c r="P8" s="80"/>
      <c r="Q8" s="80"/>
    </row>
    <row r="9" spans="1:17" ht="17.25" customHeight="1">
      <c r="A9" s="939"/>
      <c r="B9" s="1445" t="s">
        <v>19</v>
      </c>
      <c r="C9" s="1445"/>
      <c r="D9" s="1445"/>
      <c r="E9" s="1124"/>
      <c r="F9" s="437">
        <f>F10+F11</f>
        <v>114933145.40000001</v>
      </c>
      <c r="G9" s="437">
        <f t="shared" ref="G9:M9" si="3">G10+G11</f>
        <v>115555916.40000001</v>
      </c>
      <c r="H9" s="437">
        <f t="shared" si="3"/>
        <v>116388143.40000001</v>
      </c>
      <c r="I9" s="437">
        <f t="shared" si="3"/>
        <v>0</v>
      </c>
      <c r="J9" s="437">
        <f t="shared" si="3"/>
        <v>41342156.946199998</v>
      </c>
      <c r="K9" s="437">
        <f t="shared" si="3"/>
        <v>46198636.107669994</v>
      </c>
      <c r="L9" s="437">
        <f t="shared" si="3"/>
        <v>0</v>
      </c>
      <c r="M9" s="437">
        <f t="shared" si="3"/>
        <v>47128221.552019998</v>
      </c>
      <c r="N9" s="80"/>
      <c r="O9" s="80"/>
      <c r="P9" s="80"/>
      <c r="Q9" s="80"/>
    </row>
    <row r="10" spans="1:17" ht="17.25" customHeight="1">
      <c r="A10" s="939"/>
      <c r="B10" s="1445" t="s">
        <v>20</v>
      </c>
      <c r="C10" s="1445"/>
      <c r="D10" s="1445"/>
      <c r="E10" s="1124"/>
      <c r="F10" s="437">
        <f>F12+F13+F14+F15+F16+F17+F18+F19</f>
        <v>114933145.40000001</v>
      </c>
      <c r="G10" s="437">
        <f t="shared" ref="G10:M10" si="4">G12+G13+G14+G15+G16+G17+G18+G19</f>
        <v>115374416.40000001</v>
      </c>
      <c r="H10" s="437">
        <f t="shared" si="4"/>
        <v>115565343.40000001</v>
      </c>
      <c r="I10" s="437">
        <f t="shared" si="4"/>
        <v>0</v>
      </c>
      <c r="J10" s="437">
        <f t="shared" si="4"/>
        <v>41342156.946199998</v>
      </c>
      <c r="K10" s="437">
        <f t="shared" si="4"/>
        <v>46198636.107669994</v>
      </c>
      <c r="L10" s="437">
        <f t="shared" si="4"/>
        <v>0</v>
      </c>
      <c r="M10" s="437">
        <f t="shared" si="4"/>
        <v>47128221.552019998</v>
      </c>
      <c r="N10" s="80"/>
      <c r="O10" s="80"/>
      <c r="P10" s="80"/>
      <c r="Q10" s="80"/>
    </row>
    <row r="11" spans="1:17" ht="17.25" customHeight="1">
      <c r="A11" s="939"/>
      <c r="B11" s="1445" t="s">
        <v>21</v>
      </c>
      <c r="C11" s="1445"/>
      <c r="D11" s="1445"/>
      <c r="E11" s="1124"/>
      <c r="F11" s="437">
        <f>F20</f>
        <v>0</v>
      </c>
      <c r="G11" s="437">
        <f t="shared" ref="G11:M11" si="5">G20</f>
        <v>181500</v>
      </c>
      <c r="H11" s="437">
        <f t="shared" si="5"/>
        <v>822800</v>
      </c>
      <c r="I11" s="437">
        <f t="shared" si="5"/>
        <v>0</v>
      </c>
      <c r="J11" s="437">
        <f t="shared" si="5"/>
        <v>0</v>
      </c>
      <c r="K11" s="437">
        <f t="shared" si="5"/>
        <v>0</v>
      </c>
      <c r="L11" s="437">
        <f t="shared" si="5"/>
        <v>0</v>
      </c>
      <c r="M11" s="437">
        <f t="shared" si="5"/>
        <v>0</v>
      </c>
      <c r="N11" s="80"/>
      <c r="O11" s="80"/>
      <c r="P11" s="80"/>
      <c r="Q11" s="80"/>
    </row>
    <row r="12" spans="1:17" ht="52.5" customHeight="1">
      <c r="A12" s="939"/>
      <c r="B12" s="1346"/>
      <c r="C12" s="1347"/>
      <c r="D12" s="1348"/>
      <c r="E12" s="1125" t="s">
        <v>22</v>
      </c>
      <c r="F12" s="438">
        <f>F51+F61+F64+F65+F66+F69</f>
        <v>50705470</v>
      </c>
      <c r="G12" s="438">
        <f t="shared" ref="G12:M12" si="6">G51+G61+G64+G65+G66+G69</f>
        <v>50872681</v>
      </c>
      <c r="H12" s="438">
        <f t="shared" si="6"/>
        <v>51039892</v>
      </c>
      <c r="I12" s="438">
        <f t="shared" si="6"/>
        <v>0</v>
      </c>
      <c r="J12" s="438">
        <f>J51+J61+J64+J65+J66+J69+J62+J63</f>
        <v>15181191.67</v>
      </c>
      <c r="K12" s="438">
        <f t="shared" ref="K12:M12" si="7">K51+K61+K64+K65+K66+K69+K62+K63</f>
        <v>16162129.970000001</v>
      </c>
      <c r="L12" s="438">
        <f t="shared" si="7"/>
        <v>0</v>
      </c>
      <c r="M12" s="438">
        <f t="shared" si="7"/>
        <v>16326106.550000001</v>
      </c>
      <c r="N12" s="80"/>
      <c r="O12" s="80"/>
      <c r="P12" s="80"/>
      <c r="Q12" s="80"/>
    </row>
    <row r="13" spans="1:17" ht="47.25">
      <c r="A13" s="939"/>
      <c r="B13" s="1346"/>
      <c r="C13" s="1347"/>
      <c r="D13" s="1348"/>
      <c r="E13" s="1125" t="s">
        <v>23</v>
      </c>
      <c r="F13" s="438">
        <f>F26</f>
        <v>2402897</v>
      </c>
      <c r="G13" s="438">
        <f t="shared" ref="G13:M13" si="8">G26</f>
        <v>2402897</v>
      </c>
      <c r="H13" s="438">
        <f t="shared" si="8"/>
        <v>2402897</v>
      </c>
      <c r="I13" s="438">
        <f t="shared" si="8"/>
        <v>0</v>
      </c>
      <c r="J13" s="438">
        <f t="shared" si="8"/>
        <v>1625170</v>
      </c>
      <c r="K13" s="438">
        <f t="shared" si="8"/>
        <v>1826238</v>
      </c>
      <c r="L13" s="438">
        <f t="shared" si="8"/>
        <v>0</v>
      </c>
      <c r="M13" s="438">
        <f t="shared" si="8"/>
        <v>2038011.8599999994</v>
      </c>
      <c r="N13" s="80"/>
      <c r="O13" s="80"/>
      <c r="P13" s="80"/>
      <c r="Q13" s="80"/>
    </row>
    <row r="14" spans="1:17" ht="57" customHeight="1">
      <c r="A14" s="939"/>
      <c r="B14" s="1346"/>
      <c r="C14" s="1347"/>
      <c r="D14" s="1348"/>
      <c r="E14" s="1125" t="s">
        <v>24</v>
      </c>
      <c r="F14" s="438">
        <f>F27</f>
        <v>693592</v>
      </c>
      <c r="G14" s="438">
        <f t="shared" ref="G14:M14" si="9">G27</f>
        <v>693592</v>
      </c>
      <c r="H14" s="438">
        <f t="shared" si="9"/>
        <v>693592</v>
      </c>
      <c r="I14" s="438">
        <f t="shared" si="9"/>
        <v>0</v>
      </c>
      <c r="J14" s="438">
        <f t="shared" si="9"/>
        <v>167371</v>
      </c>
      <c r="K14" s="438">
        <f t="shared" si="9"/>
        <v>167371</v>
      </c>
      <c r="L14" s="438">
        <f t="shared" si="9"/>
        <v>0</v>
      </c>
      <c r="M14" s="438">
        <f t="shared" si="9"/>
        <v>167371.19999999995</v>
      </c>
      <c r="N14" s="80"/>
      <c r="O14" s="80"/>
      <c r="P14" s="80"/>
      <c r="Q14" s="80"/>
    </row>
    <row r="15" spans="1:17" ht="56.25" customHeight="1">
      <c r="A15" s="939"/>
      <c r="B15" s="1346"/>
      <c r="C15" s="1347"/>
      <c r="D15" s="1348"/>
      <c r="E15" s="1125" t="s">
        <v>25</v>
      </c>
      <c r="F15" s="438">
        <f>F33+F36+F53</f>
        <v>722263</v>
      </c>
      <c r="G15" s="438">
        <f t="shared" ref="G15:M15" si="10">G33+G36+G53</f>
        <v>722263</v>
      </c>
      <c r="H15" s="438">
        <f t="shared" si="10"/>
        <v>722263</v>
      </c>
      <c r="I15" s="438">
        <f t="shared" si="10"/>
        <v>0</v>
      </c>
      <c r="J15" s="438">
        <f t="shared" si="10"/>
        <v>3675787.8574999999</v>
      </c>
      <c r="K15" s="438">
        <f t="shared" si="10"/>
        <v>3636655.7532500001</v>
      </c>
      <c r="L15" s="438">
        <f t="shared" si="10"/>
        <v>0</v>
      </c>
      <c r="M15" s="438">
        <f t="shared" si="10"/>
        <v>3692702.199</v>
      </c>
      <c r="N15" s="80"/>
      <c r="O15" s="80"/>
      <c r="P15" s="80"/>
      <c r="Q15" s="80"/>
    </row>
    <row r="16" spans="1:17" ht="71.25" customHeight="1">
      <c r="A16" s="939"/>
      <c r="B16" s="1346"/>
      <c r="C16" s="1347"/>
      <c r="D16" s="1348"/>
      <c r="E16" s="1125" t="s">
        <v>26</v>
      </c>
      <c r="F16" s="438">
        <f>F37+F39+F42+F44+F47+F50+F54+F77+F79</f>
        <v>34351241</v>
      </c>
      <c r="G16" s="438">
        <f t="shared" ref="G16:M16" si="11">G37+G39+G42+G44+G47+G50+G54+G77+G79</f>
        <v>34374957</v>
      </c>
      <c r="H16" s="438">
        <f t="shared" si="11"/>
        <v>34398673</v>
      </c>
      <c r="I16" s="438">
        <f t="shared" si="11"/>
        <v>0</v>
      </c>
      <c r="J16" s="438">
        <f t="shared" si="11"/>
        <v>8947240.6438999996</v>
      </c>
      <c r="K16" s="438">
        <f t="shared" si="11"/>
        <v>9235804.4765000008</v>
      </c>
      <c r="L16" s="438">
        <f t="shared" si="11"/>
        <v>0</v>
      </c>
      <c r="M16" s="438">
        <f t="shared" si="11"/>
        <v>9283875.2950999998</v>
      </c>
      <c r="N16" s="80"/>
      <c r="O16" s="80"/>
      <c r="P16" s="80"/>
      <c r="Q16" s="80"/>
    </row>
    <row r="17" spans="1:17" ht="69.75" customHeight="1">
      <c r="A17" s="939"/>
      <c r="B17" s="1346"/>
      <c r="C17" s="1347"/>
      <c r="D17" s="1348"/>
      <c r="E17" s="1125" t="s">
        <v>27</v>
      </c>
      <c r="F17" s="438">
        <f>F38+F43+F67+F76+F78+F80+F81+F82</f>
        <v>26057682.399999999</v>
      </c>
      <c r="G17" s="438">
        <f t="shared" ref="G17:M17" si="12">G38+G43+G67+G76+G78+G80+G81+G82</f>
        <v>26308026.399999999</v>
      </c>
      <c r="H17" s="438">
        <f t="shared" si="12"/>
        <v>26308026.399999999</v>
      </c>
      <c r="I17" s="438">
        <f t="shared" si="12"/>
        <v>0</v>
      </c>
      <c r="J17" s="438">
        <f t="shared" si="12"/>
        <v>11745395.774799999</v>
      </c>
      <c r="K17" s="438">
        <f t="shared" si="12"/>
        <v>15170436.907919999</v>
      </c>
      <c r="L17" s="438">
        <f t="shared" si="12"/>
        <v>0</v>
      </c>
      <c r="M17" s="438">
        <f t="shared" si="12"/>
        <v>15620154.44792</v>
      </c>
      <c r="N17" s="80"/>
      <c r="O17" s="80"/>
      <c r="P17" s="80"/>
      <c r="Q17" s="80"/>
    </row>
    <row r="18" spans="1:17" ht="68.25" customHeight="1">
      <c r="A18" s="969"/>
      <c r="B18" s="1346"/>
      <c r="C18" s="1347"/>
      <c r="D18" s="1348"/>
      <c r="E18" s="1126" t="s">
        <v>28</v>
      </c>
      <c r="F18" s="1006">
        <f>F31+F32+F72+F73+F74+F83+F84+F85</f>
        <v>0</v>
      </c>
      <c r="G18" s="1006">
        <f t="shared" ref="G18:M18" si="13">G31+G32+G72+G73+G74+G83+G84+G85</f>
        <v>0</v>
      </c>
      <c r="H18" s="1006">
        <f t="shared" si="13"/>
        <v>0</v>
      </c>
      <c r="I18" s="1006">
        <f t="shared" si="13"/>
        <v>0</v>
      </c>
      <c r="J18" s="1006">
        <f t="shared" si="13"/>
        <v>0</v>
      </c>
      <c r="K18" s="1006">
        <f t="shared" si="13"/>
        <v>0</v>
      </c>
      <c r="L18" s="1006">
        <f t="shared" si="13"/>
        <v>0</v>
      </c>
      <c r="M18" s="1006">
        <f t="shared" si="13"/>
        <v>0</v>
      </c>
      <c r="N18" s="425"/>
      <c r="O18" s="425"/>
      <c r="P18" s="425"/>
      <c r="Q18" s="425"/>
    </row>
    <row r="19" spans="1:17" ht="68.25" customHeight="1">
      <c r="A19" s="1310"/>
      <c r="B19" s="1005"/>
      <c r="C19" s="1005"/>
      <c r="D19" s="1005"/>
      <c r="E19" s="1126" t="s">
        <v>797</v>
      </c>
      <c r="F19" s="1007">
        <f>F23+F25+F28</f>
        <v>0</v>
      </c>
      <c r="G19" s="1007">
        <f t="shared" ref="G19:M19" si="14">G23+G25+G28</f>
        <v>0</v>
      </c>
      <c r="H19" s="1007">
        <f t="shared" si="14"/>
        <v>0</v>
      </c>
      <c r="I19" s="1007">
        <f t="shared" si="14"/>
        <v>0</v>
      </c>
      <c r="J19" s="1007">
        <f t="shared" si="14"/>
        <v>0</v>
      </c>
      <c r="K19" s="1007">
        <f t="shared" si="14"/>
        <v>0</v>
      </c>
      <c r="L19" s="1007">
        <f t="shared" si="14"/>
        <v>0</v>
      </c>
      <c r="M19" s="1007">
        <f t="shared" si="14"/>
        <v>0</v>
      </c>
      <c r="N19" s="1008"/>
      <c r="O19" s="1008"/>
      <c r="P19" s="1008"/>
      <c r="Q19" s="1008"/>
    </row>
    <row r="20" spans="1:17" ht="68.25" customHeight="1">
      <c r="A20" s="1310"/>
      <c r="B20" s="1005"/>
      <c r="C20" s="1005"/>
      <c r="D20" s="1005"/>
      <c r="E20" s="1126" t="s">
        <v>106</v>
      </c>
      <c r="F20" s="1007">
        <f>F24+F34+F41+F45+F48+F49+F52+F55+F56+F57+F71+F98+F99+F100+F101+F102+F103+F40+F94</f>
        <v>0</v>
      </c>
      <c r="G20" s="1007">
        <f t="shared" ref="G20:M20" si="15">G24+G34+G41+G45+G48+G49+G52+G55+G56+G57+G71+G98+G99+G100+G101+G102+G103+G40+G94</f>
        <v>181500</v>
      </c>
      <c r="H20" s="1007">
        <f t="shared" si="15"/>
        <v>822800</v>
      </c>
      <c r="I20" s="1007">
        <f t="shared" si="15"/>
        <v>0</v>
      </c>
      <c r="J20" s="1007">
        <f t="shared" si="15"/>
        <v>0</v>
      </c>
      <c r="K20" s="1007">
        <f t="shared" si="15"/>
        <v>0</v>
      </c>
      <c r="L20" s="1007">
        <f t="shared" si="15"/>
        <v>0</v>
      </c>
      <c r="M20" s="1007">
        <f t="shared" si="15"/>
        <v>0</v>
      </c>
      <c r="N20" s="1008"/>
      <c r="O20" s="1008"/>
      <c r="P20" s="1008"/>
      <c r="Q20" s="1008"/>
    </row>
    <row r="21" spans="1:17" ht="21" customHeight="1">
      <c r="A21" s="1427" t="s">
        <v>29</v>
      </c>
      <c r="B21" s="1428"/>
      <c r="C21" s="1423" t="s">
        <v>30</v>
      </c>
      <c r="D21" s="1424"/>
      <c r="E21" s="1127"/>
      <c r="F21" s="1003">
        <f>SUM(F22)</f>
        <v>3096489</v>
      </c>
      <c r="G21" s="1003">
        <f t="shared" ref="G21:M21" si="16">SUM(G22)</f>
        <v>3114639</v>
      </c>
      <c r="H21" s="1003">
        <f t="shared" si="16"/>
        <v>3114639</v>
      </c>
      <c r="I21" s="1003">
        <f t="shared" si="16"/>
        <v>0</v>
      </c>
      <c r="J21" s="1003">
        <f t="shared" si="16"/>
        <v>1792541</v>
      </c>
      <c r="K21" s="1003">
        <f t="shared" si="16"/>
        <v>1993609</v>
      </c>
      <c r="L21" s="1003">
        <f t="shared" si="16"/>
        <v>0</v>
      </c>
      <c r="M21" s="1003">
        <f t="shared" si="16"/>
        <v>2205383.0599999996</v>
      </c>
      <c r="N21" s="1002"/>
      <c r="O21" s="1004"/>
      <c r="P21" s="1004"/>
      <c r="Q21" s="1002"/>
    </row>
    <row r="22" spans="1:17" ht="15" customHeight="1">
      <c r="A22" s="1363" t="s">
        <v>31</v>
      </c>
      <c r="B22" s="1364"/>
      <c r="C22" s="1364"/>
      <c r="D22" s="1365"/>
      <c r="E22" s="1128" t="s">
        <v>32</v>
      </c>
      <c r="F22" s="1009">
        <f>SUM(F23:F28)</f>
        <v>3096489</v>
      </c>
      <c r="G22" s="1009">
        <f t="shared" ref="G22:M22" si="17">SUM(G23:G28)</f>
        <v>3114639</v>
      </c>
      <c r="H22" s="1009">
        <f t="shared" si="17"/>
        <v>3114639</v>
      </c>
      <c r="I22" s="1009">
        <f t="shared" si="17"/>
        <v>0</v>
      </c>
      <c r="J22" s="1009">
        <f t="shared" si="17"/>
        <v>1792541</v>
      </c>
      <c r="K22" s="1009">
        <f t="shared" si="17"/>
        <v>1993609</v>
      </c>
      <c r="L22" s="1009">
        <f t="shared" si="17"/>
        <v>0</v>
      </c>
      <c r="M22" s="1009">
        <f t="shared" si="17"/>
        <v>2205383.0599999996</v>
      </c>
      <c r="N22" s="1018"/>
      <c r="O22" s="1011"/>
      <c r="P22" s="1011"/>
      <c r="Q22" s="1018" t="s">
        <v>32</v>
      </c>
    </row>
    <row r="23" spans="1:17" s="430" customFormat="1" ht="133.5" customHeight="1">
      <c r="A23" s="1280" t="s">
        <v>33</v>
      </c>
      <c r="B23" s="1281" t="s">
        <v>838</v>
      </c>
      <c r="C23" s="1281" t="s">
        <v>839</v>
      </c>
      <c r="D23" s="1281" t="s">
        <v>840</v>
      </c>
      <c r="E23" s="1138" t="s">
        <v>797</v>
      </c>
      <c r="F23" s="808">
        <v>0</v>
      </c>
      <c r="G23" s="808">
        <v>0</v>
      </c>
      <c r="H23" s="808">
        <v>0</v>
      </c>
      <c r="I23" s="808"/>
      <c r="J23" s="808">
        <v>0</v>
      </c>
      <c r="K23" s="808">
        <v>0</v>
      </c>
      <c r="L23" s="808">
        <v>0</v>
      </c>
      <c r="M23" s="808">
        <v>0</v>
      </c>
      <c r="N23" s="958" t="s">
        <v>34</v>
      </c>
      <c r="O23" s="963" t="s">
        <v>35</v>
      </c>
      <c r="P23" s="963" t="s">
        <v>799</v>
      </c>
      <c r="Q23" s="1013" t="s">
        <v>36</v>
      </c>
    </row>
    <row r="24" spans="1:17" s="431" customFormat="1" ht="130.5" customHeight="1">
      <c r="A24" s="1265" t="s">
        <v>37</v>
      </c>
      <c r="B24" s="1243" t="s">
        <v>38</v>
      </c>
      <c r="C24" s="1243" t="s">
        <v>39</v>
      </c>
      <c r="D24" s="1286" t="s">
        <v>40</v>
      </c>
      <c r="E24" s="1164" t="s">
        <v>106</v>
      </c>
      <c r="F24" s="809">
        <v>0</v>
      </c>
      <c r="G24" s="809">
        <f>'1.1.2'!B5</f>
        <v>18150</v>
      </c>
      <c r="H24" s="809">
        <f>'1.1.2'!C5</f>
        <v>18150</v>
      </c>
      <c r="I24" s="809"/>
      <c r="J24" s="809">
        <v>0</v>
      </c>
      <c r="K24" s="809">
        <v>0</v>
      </c>
      <c r="L24" s="809">
        <v>0</v>
      </c>
      <c r="M24" s="809">
        <v>0</v>
      </c>
      <c r="N24" s="959" t="s">
        <v>43</v>
      </c>
      <c r="O24" s="959" t="s">
        <v>35</v>
      </c>
      <c r="P24" s="959" t="s">
        <v>798</v>
      </c>
      <c r="Q24" s="1014" t="s">
        <v>41</v>
      </c>
    </row>
    <row r="25" spans="1:17" s="430" customFormat="1" ht="134.25" customHeight="1">
      <c r="A25" s="975" t="s">
        <v>42</v>
      </c>
      <c r="B25" s="1047" t="s">
        <v>841</v>
      </c>
      <c r="C25" s="1047" t="s">
        <v>842</v>
      </c>
      <c r="D25" s="957" t="s">
        <v>843</v>
      </c>
      <c r="E25" s="1130" t="s">
        <v>797</v>
      </c>
      <c r="F25" s="445">
        <v>0</v>
      </c>
      <c r="G25" s="445">
        <v>0</v>
      </c>
      <c r="H25" s="445">
        <v>0</v>
      </c>
      <c r="I25" s="445"/>
      <c r="J25" s="445">
        <v>0</v>
      </c>
      <c r="K25" s="445">
        <v>0</v>
      </c>
      <c r="L25" s="445">
        <v>0</v>
      </c>
      <c r="M25" s="445">
        <v>0</v>
      </c>
      <c r="N25" s="818" t="s">
        <v>43</v>
      </c>
      <c r="O25" s="959" t="s">
        <v>44</v>
      </c>
      <c r="P25" s="1012" t="s">
        <v>799</v>
      </c>
      <c r="Q25" s="1019" t="s">
        <v>45</v>
      </c>
    </row>
    <row r="26" spans="1:17" s="526" customFormat="1" ht="55.5" customHeight="1">
      <c r="A26" s="1349" t="s">
        <v>46</v>
      </c>
      <c r="B26" s="1352" t="s">
        <v>47</v>
      </c>
      <c r="C26" s="1401" t="s">
        <v>48</v>
      </c>
      <c r="D26" s="1355" t="s">
        <v>49</v>
      </c>
      <c r="E26" s="1131" t="s">
        <v>50</v>
      </c>
      <c r="F26" s="1266">
        <v>2402897</v>
      </c>
      <c r="G26" s="1266">
        <v>2402897</v>
      </c>
      <c r="H26" s="1266">
        <v>2402897</v>
      </c>
      <c r="I26" s="1263"/>
      <c r="J26" s="1266">
        <f>SUM('1.1.4.'!C6)</f>
        <v>1625170</v>
      </c>
      <c r="K26" s="1266">
        <f>SUM('1.1.4.'!D6)</f>
        <v>1826238</v>
      </c>
      <c r="L26" s="1266">
        <v>0</v>
      </c>
      <c r="M26" s="1266">
        <f>SUM('1.1.4.'!E6)</f>
        <v>2038011.8599999994</v>
      </c>
      <c r="N26" s="1357" t="s">
        <v>51</v>
      </c>
      <c r="O26" s="1384"/>
      <c r="P26" s="1343" t="s">
        <v>20</v>
      </c>
      <c r="Q26" s="1387" t="s">
        <v>52</v>
      </c>
    </row>
    <row r="27" spans="1:17" s="526" customFormat="1" ht="54" customHeight="1">
      <c r="A27" s="1350"/>
      <c r="B27" s="1353"/>
      <c r="C27" s="1320"/>
      <c r="D27" s="1356"/>
      <c r="E27" s="1264" t="s">
        <v>53</v>
      </c>
      <c r="F27" s="1172">
        <v>693592</v>
      </c>
      <c r="G27" s="1172">
        <v>693592</v>
      </c>
      <c r="H27" s="1172">
        <v>693592</v>
      </c>
      <c r="I27" s="810"/>
      <c r="J27" s="1172">
        <f>SUM('1.1.4.'!C7)</f>
        <v>167371</v>
      </c>
      <c r="K27" s="1172">
        <f>SUM('1.1.4.'!D7)</f>
        <v>167371</v>
      </c>
      <c r="L27" s="1172">
        <v>0</v>
      </c>
      <c r="M27" s="1172">
        <f>SUM('1.1.4.'!E7)</f>
        <v>167371.19999999995</v>
      </c>
      <c r="N27" s="1358"/>
      <c r="O27" s="1385"/>
      <c r="P27" s="1386"/>
      <c r="Q27" s="1388"/>
    </row>
    <row r="28" spans="1:17" s="526" customFormat="1" ht="51" customHeight="1">
      <c r="A28" s="1351"/>
      <c r="B28" s="1354"/>
      <c r="C28" s="1013" t="s">
        <v>54</v>
      </c>
      <c r="D28" s="955" t="s">
        <v>55</v>
      </c>
      <c r="E28" s="1131" t="s">
        <v>797</v>
      </c>
      <c r="F28" s="982">
        <v>0</v>
      </c>
      <c r="G28" s="810">
        <v>0</v>
      </c>
      <c r="H28" s="810">
        <v>0</v>
      </c>
      <c r="I28" s="810"/>
      <c r="J28" s="810">
        <v>0</v>
      </c>
      <c r="K28" s="810">
        <v>0</v>
      </c>
      <c r="L28" s="810">
        <v>0</v>
      </c>
      <c r="M28" s="810">
        <v>0</v>
      </c>
      <c r="N28" s="1034" t="s">
        <v>34</v>
      </c>
      <c r="O28" s="1038"/>
      <c r="P28" s="1012" t="s">
        <v>20</v>
      </c>
      <c r="Q28" s="1039" t="s">
        <v>56</v>
      </c>
    </row>
    <row r="29" spans="1:17" ht="39.75" customHeight="1">
      <c r="A29" s="1366" t="s">
        <v>57</v>
      </c>
      <c r="B29" s="1367"/>
      <c r="C29" s="1368" t="s">
        <v>58</v>
      </c>
      <c r="D29" s="1369"/>
      <c r="E29" s="1132"/>
      <c r="F29" s="1040">
        <f>F30+F46+F60+F70+F87+F92</f>
        <v>111836656.40000001</v>
      </c>
      <c r="G29" s="1040">
        <f t="shared" ref="G29:M29" si="18">G30+G46+G60+G70+G87+G92</f>
        <v>112441277.40000001</v>
      </c>
      <c r="H29" s="1040">
        <f t="shared" si="18"/>
        <v>113189046.40000001</v>
      </c>
      <c r="I29" s="1040">
        <f t="shared" si="18"/>
        <v>0</v>
      </c>
      <c r="J29" s="1040">
        <f t="shared" si="18"/>
        <v>39549615.946199998</v>
      </c>
      <c r="K29" s="1040">
        <f t="shared" si="18"/>
        <v>44205027.107669994</v>
      </c>
      <c r="L29" s="1040">
        <f t="shared" si="18"/>
        <v>0</v>
      </c>
      <c r="M29" s="1040">
        <f t="shared" si="18"/>
        <v>44922838.492020003</v>
      </c>
      <c r="N29" s="1041"/>
      <c r="O29" s="1042"/>
      <c r="P29" s="1043"/>
      <c r="Q29" s="1041"/>
    </row>
    <row r="30" spans="1:17" ht="15.75">
      <c r="A30" s="1447" t="s">
        <v>59</v>
      </c>
      <c r="B30" s="1447"/>
      <c r="C30" s="1447"/>
      <c r="D30" s="1448"/>
      <c r="E30" s="1133"/>
      <c r="F30" s="1044">
        <f>SUM(F31:F45)</f>
        <v>5945137</v>
      </c>
      <c r="G30" s="1044">
        <f t="shared" ref="G30:M30" si="19">SUM(G31:G45)</f>
        <v>5981437</v>
      </c>
      <c r="H30" s="1044">
        <f t="shared" si="19"/>
        <v>6012655</v>
      </c>
      <c r="I30" s="1044">
        <f t="shared" si="19"/>
        <v>0</v>
      </c>
      <c r="J30" s="1044">
        <f t="shared" si="19"/>
        <v>2179958.8404000001</v>
      </c>
      <c r="K30" s="1044">
        <f>SUM(K31:K45)</f>
        <v>1898588.1404000001</v>
      </c>
      <c r="L30" s="1044">
        <f t="shared" si="19"/>
        <v>0</v>
      </c>
      <c r="M30" s="1044">
        <f t="shared" si="19"/>
        <v>1699055.9904000002</v>
      </c>
      <c r="N30" s="1142"/>
      <c r="O30" s="1144"/>
      <c r="P30" s="1139"/>
      <c r="Q30" s="1045"/>
    </row>
    <row r="31" spans="1:17" s="840" customFormat="1" ht="81.75" customHeight="1">
      <c r="A31" s="1317" t="s">
        <v>844</v>
      </c>
      <c r="B31" s="1319" t="s">
        <v>845</v>
      </c>
      <c r="C31" s="1013" t="s">
        <v>846</v>
      </c>
      <c r="D31" s="945" t="s">
        <v>847</v>
      </c>
      <c r="E31" s="1131" t="s">
        <v>28</v>
      </c>
      <c r="F31" s="1140">
        <v>0</v>
      </c>
      <c r="G31" s="1140">
        <v>0</v>
      </c>
      <c r="H31" s="1140">
        <v>0</v>
      </c>
      <c r="I31" s="1140"/>
      <c r="J31" s="1140">
        <v>0</v>
      </c>
      <c r="K31" s="1140">
        <v>0</v>
      </c>
      <c r="L31" s="1140">
        <v>0</v>
      </c>
      <c r="M31" s="1141">
        <v>0</v>
      </c>
      <c r="N31" s="1083" t="s">
        <v>850</v>
      </c>
      <c r="O31" s="1083" t="s">
        <v>851</v>
      </c>
      <c r="P31" s="1012" t="s">
        <v>799</v>
      </c>
      <c r="Q31" s="1039" t="s">
        <v>854</v>
      </c>
    </row>
    <row r="32" spans="1:17" s="840" customFormat="1" ht="71.25" customHeight="1">
      <c r="A32" s="1318"/>
      <c r="B32" s="1320"/>
      <c r="C32" s="1013" t="s">
        <v>848</v>
      </c>
      <c r="D32" s="945" t="s">
        <v>849</v>
      </c>
      <c r="E32" s="1131" t="s">
        <v>28</v>
      </c>
      <c r="F32" s="1140">
        <v>0</v>
      </c>
      <c r="G32" s="1140">
        <v>0</v>
      </c>
      <c r="H32" s="1140">
        <v>0</v>
      </c>
      <c r="I32" s="1140"/>
      <c r="J32" s="1140">
        <v>0</v>
      </c>
      <c r="K32" s="1140">
        <v>0</v>
      </c>
      <c r="L32" s="1140">
        <v>0</v>
      </c>
      <c r="M32" s="1141">
        <v>0</v>
      </c>
      <c r="N32" s="1083" t="s">
        <v>852</v>
      </c>
      <c r="O32" s="1084" t="s">
        <v>853</v>
      </c>
      <c r="P32" s="1146" t="s">
        <v>799</v>
      </c>
      <c r="Q32" s="1039" t="s">
        <v>165</v>
      </c>
    </row>
    <row r="33" spans="1:17" s="430" customFormat="1" ht="156" customHeight="1">
      <c r="A33" s="1321" t="s">
        <v>60</v>
      </c>
      <c r="B33" s="1321" t="s">
        <v>61</v>
      </c>
      <c r="C33" s="1014" t="s">
        <v>62</v>
      </c>
      <c r="D33" s="945" t="s">
        <v>855</v>
      </c>
      <c r="E33" s="1129" t="s">
        <v>63</v>
      </c>
      <c r="F33" s="811">
        <v>66229</v>
      </c>
      <c r="G33" s="811">
        <v>66229</v>
      </c>
      <c r="H33" s="811">
        <v>66229</v>
      </c>
      <c r="I33" s="811"/>
      <c r="J33" s="811">
        <f>SUM('2.1.2.1.'!C5)</f>
        <v>38995.899999999994</v>
      </c>
      <c r="K33" s="811">
        <f>SUM('2.1.2.1.'!D5)</f>
        <v>47987.199999999997</v>
      </c>
      <c r="L33" s="811">
        <v>0</v>
      </c>
      <c r="M33" s="811">
        <f>SUM('2.1.2.1.'!E5)</f>
        <v>56973.049999999996</v>
      </c>
      <c r="N33" s="962" t="s">
        <v>64</v>
      </c>
      <c r="O33" s="962" t="s">
        <v>65</v>
      </c>
      <c r="P33" s="1145" t="s">
        <v>20</v>
      </c>
      <c r="Q33" s="1020" t="s">
        <v>66</v>
      </c>
    </row>
    <row r="34" spans="1:17" s="430" customFormat="1" ht="77.25" customHeight="1">
      <c r="A34" s="1402"/>
      <c r="B34" s="1402"/>
      <c r="C34" s="1287" t="s">
        <v>67</v>
      </c>
      <c r="D34" s="1288" t="s">
        <v>68</v>
      </c>
      <c r="E34" s="1164" t="s">
        <v>106</v>
      </c>
      <c r="F34" s="445">
        <v>0</v>
      </c>
      <c r="G34" s="445">
        <f>'2.1.2.2'!B5</f>
        <v>36300</v>
      </c>
      <c r="H34" s="445">
        <v>0</v>
      </c>
      <c r="I34" s="445"/>
      <c r="J34" s="445">
        <v>0</v>
      </c>
      <c r="K34" s="445">
        <v>0</v>
      </c>
      <c r="L34" s="445">
        <v>0</v>
      </c>
      <c r="M34" s="445">
        <v>0</v>
      </c>
      <c r="N34" s="960" t="s">
        <v>69</v>
      </c>
      <c r="O34" s="1031" t="s">
        <v>70</v>
      </c>
      <c r="P34" s="959" t="s">
        <v>798</v>
      </c>
      <c r="Q34" s="1021" t="s">
        <v>71</v>
      </c>
    </row>
    <row r="35" spans="1:17" ht="85.5" customHeight="1">
      <c r="A35" s="1046" t="s">
        <v>72</v>
      </c>
      <c r="B35" s="1047" t="s">
        <v>73</v>
      </c>
      <c r="C35" s="1282" t="s">
        <v>74</v>
      </c>
      <c r="D35" s="1283" t="s">
        <v>856</v>
      </c>
      <c r="E35" s="1134"/>
      <c r="F35" s="439">
        <v>0</v>
      </c>
      <c r="G35" s="439">
        <v>0</v>
      </c>
      <c r="H35" s="439">
        <v>0</v>
      </c>
      <c r="I35" s="439"/>
      <c r="J35" s="439">
        <v>0</v>
      </c>
      <c r="K35" s="439">
        <v>0</v>
      </c>
      <c r="L35" s="439">
        <v>0</v>
      </c>
      <c r="M35" s="439">
        <v>0</v>
      </c>
      <c r="N35" s="960" t="s">
        <v>69</v>
      </c>
      <c r="O35" s="960" t="s">
        <v>75</v>
      </c>
      <c r="P35" s="1012" t="s">
        <v>799</v>
      </c>
      <c r="Q35" s="1014" t="s">
        <v>76</v>
      </c>
    </row>
    <row r="36" spans="1:17" s="432" customFormat="1" ht="155.25" customHeight="1">
      <c r="A36" s="1449" t="s">
        <v>77</v>
      </c>
      <c r="B36" s="1450" t="s">
        <v>857</v>
      </c>
      <c r="C36" s="1082" t="s">
        <v>858</v>
      </c>
      <c r="D36" s="1120" t="s">
        <v>859</v>
      </c>
      <c r="E36" s="1138" t="s">
        <v>63</v>
      </c>
      <c r="F36" s="812">
        <v>365</v>
      </c>
      <c r="G36" s="812">
        <v>365</v>
      </c>
      <c r="H36" s="812">
        <v>365</v>
      </c>
      <c r="I36" s="812"/>
      <c r="J36" s="812">
        <f>SUM('2.1.4.1.'!C5)</f>
        <v>1081006</v>
      </c>
      <c r="K36" s="812">
        <f>SUM('2.1.4.1.'!D5)</f>
        <v>777304</v>
      </c>
      <c r="L36" s="812">
        <v>0</v>
      </c>
      <c r="M36" s="812">
        <f>SUM('2.1.4.1.'!E5)</f>
        <v>568786</v>
      </c>
      <c r="N36" s="958" t="s">
        <v>78</v>
      </c>
      <c r="O36" s="958" t="s">
        <v>79</v>
      </c>
      <c r="P36" s="1012" t="s">
        <v>20</v>
      </c>
      <c r="Q36" s="1022" t="s">
        <v>80</v>
      </c>
    </row>
    <row r="37" spans="1:17" s="432" customFormat="1" ht="66.75" customHeight="1">
      <c r="A37" s="1449"/>
      <c r="B37" s="1450"/>
      <c r="C37" s="1052" t="s">
        <v>861</v>
      </c>
      <c r="D37" s="1147" t="s">
        <v>81</v>
      </c>
      <c r="E37" s="1130" t="s">
        <v>82</v>
      </c>
      <c r="F37" s="813">
        <v>0</v>
      </c>
      <c r="G37" s="813">
        <v>0</v>
      </c>
      <c r="H37" s="813">
        <v>0</v>
      </c>
      <c r="I37" s="813"/>
      <c r="J37" s="813">
        <f>SUM('2.1.4.2.'!C5)</f>
        <v>73945.150399999999</v>
      </c>
      <c r="K37" s="813">
        <f>SUM('2.1.4.2.'!D5)</f>
        <v>87285.150399999999</v>
      </c>
      <c r="L37" s="813">
        <v>0</v>
      </c>
      <c r="M37" s="813">
        <f>SUM('2.1.4.2.'!E5)</f>
        <v>87285.150399999999</v>
      </c>
      <c r="N37" s="818" t="s">
        <v>78</v>
      </c>
      <c r="O37" s="960" t="s">
        <v>79</v>
      </c>
      <c r="P37" s="1012" t="s">
        <v>20</v>
      </c>
      <c r="Q37" s="818" t="s">
        <v>83</v>
      </c>
    </row>
    <row r="38" spans="1:17" s="430" customFormat="1" ht="58.5" customHeight="1">
      <c r="A38" s="1321" t="s">
        <v>84</v>
      </c>
      <c r="B38" s="1451" t="s">
        <v>85</v>
      </c>
      <c r="C38" s="1403" t="s">
        <v>863</v>
      </c>
      <c r="D38" s="1405" t="s">
        <v>864</v>
      </c>
      <c r="E38" s="1129" t="s">
        <v>86</v>
      </c>
      <c r="F38" s="814">
        <v>1045810</v>
      </c>
      <c r="G38" s="814">
        <v>1045810</v>
      </c>
      <c r="H38" s="814">
        <v>1045810</v>
      </c>
      <c r="I38" s="812"/>
      <c r="J38" s="812">
        <f>SUM('2.1.5.1.'!C6)</f>
        <v>205157.88</v>
      </c>
      <c r="K38" s="812">
        <f>SUM('2.1.5.1.'!D6)</f>
        <v>205157.88</v>
      </c>
      <c r="L38" s="812">
        <v>0</v>
      </c>
      <c r="M38" s="812">
        <f>SUM('2.1.5.1.'!D6)</f>
        <v>205157.88</v>
      </c>
      <c r="N38" s="1389" t="s">
        <v>867</v>
      </c>
      <c r="O38" s="1391" t="s">
        <v>79</v>
      </c>
      <c r="P38" s="1391" t="s">
        <v>20</v>
      </c>
      <c r="Q38" s="1393" t="s">
        <v>87</v>
      </c>
    </row>
    <row r="39" spans="1:17" s="430" customFormat="1" ht="55.5" customHeight="1" thickBot="1">
      <c r="A39" s="1322"/>
      <c r="B39" s="1452"/>
      <c r="C39" s="1404"/>
      <c r="D39" s="1406"/>
      <c r="E39" s="1130" t="s">
        <v>82</v>
      </c>
      <c r="F39" s="815">
        <v>4830207</v>
      </c>
      <c r="G39" s="815">
        <v>4830207</v>
      </c>
      <c r="H39" s="815">
        <v>4830207</v>
      </c>
      <c r="I39" s="813"/>
      <c r="J39" s="812">
        <f>SUM('2.1.5.1.'!C7)</f>
        <v>682625.91000000015</v>
      </c>
      <c r="K39" s="812">
        <f>SUM('2.1.5.1.'!D7)</f>
        <v>682625.91000000015</v>
      </c>
      <c r="L39" s="812">
        <v>0</v>
      </c>
      <c r="M39" s="812">
        <f>SUM('2.1.5.1.'!D7)</f>
        <v>682625.91000000015</v>
      </c>
      <c r="N39" s="1390"/>
      <c r="O39" s="1392"/>
      <c r="P39" s="1392"/>
      <c r="Q39" s="1394"/>
    </row>
    <row r="40" spans="1:17" ht="80.25" customHeight="1" thickBot="1">
      <c r="A40" s="1402"/>
      <c r="B40" s="1453"/>
      <c r="C40" s="1287" t="s">
        <v>866</v>
      </c>
      <c r="D40" s="1288" t="s">
        <v>780</v>
      </c>
      <c r="E40" s="1164" t="s">
        <v>106</v>
      </c>
      <c r="F40" s="439">
        <v>0</v>
      </c>
      <c r="G40" s="439">
        <v>0</v>
      </c>
      <c r="H40" s="809">
        <f>'2.1.5.2'!C5</f>
        <v>33759</v>
      </c>
      <c r="I40" s="439"/>
      <c r="J40" s="439">
        <v>0</v>
      </c>
      <c r="K40" s="812">
        <v>0</v>
      </c>
      <c r="L40" s="439">
        <v>0</v>
      </c>
      <c r="M40" s="439">
        <v>0</v>
      </c>
      <c r="N40" s="960" t="s">
        <v>89</v>
      </c>
      <c r="O40" s="1148" t="s">
        <v>868</v>
      </c>
      <c r="P40" s="959" t="s">
        <v>798</v>
      </c>
      <c r="Q40" s="1023" t="s">
        <v>90</v>
      </c>
    </row>
    <row r="41" spans="1:17" ht="66" customHeight="1">
      <c r="A41" s="1431"/>
      <c r="B41" s="1454"/>
      <c r="C41" s="1284" t="s">
        <v>869</v>
      </c>
      <c r="D41" s="1285" t="s">
        <v>91</v>
      </c>
      <c r="E41" s="820"/>
      <c r="F41" s="439">
        <v>0</v>
      </c>
      <c r="G41" s="439">
        <v>0</v>
      </c>
      <c r="H41" s="439">
        <v>0</v>
      </c>
      <c r="I41" s="439"/>
      <c r="J41" s="439">
        <v>0</v>
      </c>
      <c r="K41" s="439">
        <v>0</v>
      </c>
      <c r="L41" s="439">
        <v>0</v>
      </c>
      <c r="M41" s="439">
        <v>0</v>
      </c>
      <c r="N41" s="960" t="s">
        <v>92</v>
      </c>
      <c r="O41" s="1037" t="s">
        <v>79</v>
      </c>
      <c r="P41" s="1012" t="s">
        <v>799</v>
      </c>
      <c r="Q41" s="1023" t="s">
        <v>93</v>
      </c>
    </row>
    <row r="42" spans="1:17" s="430" customFormat="1" ht="57" customHeight="1">
      <c r="A42" s="1025" t="s">
        <v>94</v>
      </c>
      <c r="B42" s="1013" t="s">
        <v>870</v>
      </c>
      <c r="C42" s="1014" t="s">
        <v>818</v>
      </c>
      <c r="D42" s="944" t="s">
        <v>97</v>
      </c>
      <c r="E42" s="1130" t="s">
        <v>82</v>
      </c>
      <c r="F42" s="445">
        <v>0</v>
      </c>
      <c r="G42" s="445">
        <v>0</v>
      </c>
      <c r="H42" s="445">
        <v>0</v>
      </c>
      <c r="I42" s="445"/>
      <c r="J42" s="445">
        <f>SUM('2.1.6.'!C6)</f>
        <v>83080</v>
      </c>
      <c r="K42" s="445">
        <f>SUM('2.1.6.'!D6)</f>
        <v>83080</v>
      </c>
      <c r="L42" s="445">
        <v>0</v>
      </c>
      <c r="M42" s="445">
        <f>SUM('2.1.6.'!D6)</f>
        <v>83080</v>
      </c>
      <c r="N42" s="818" t="s">
        <v>64</v>
      </c>
      <c r="O42" s="1081"/>
      <c r="P42" s="1083" t="s">
        <v>20</v>
      </c>
      <c r="Q42" s="1052" t="s">
        <v>96</v>
      </c>
    </row>
    <row r="43" spans="1:17" s="430" customFormat="1" ht="53.25" customHeight="1">
      <c r="A43" s="1321" t="s">
        <v>98</v>
      </c>
      <c r="B43" s="1321" t="s">
        <v>872</v>
      </c>
      <c r="C43" s="1319" t="s">
        <v>817</v>
      </c>
      <c r="D43" s="1324" t="s">
        <v>95</v>
      </c>
      <c r="E43" s="1129" t="s">
        <v>86</v>
      </c>
      <c r="F43" s="808">
        <v>534</v>
      </c>
      <c r="G43" s="808">
        <v>534</v>
      </c>
      <c r="H43" s="808">
        <v>534</v>
      </c>
      <c r="I43" s="808"/>
      <c r="J43" s="808">
        <f>SUM('2.1.7.'!D6)</f>
        <v>4560</v>
      </c>
      <c r="K43" s="808">
        <f>SUM('2.1.7.'!E6)</f>
        <v>4560</v>
      </c>
      <c r="L43" s="808">
        <v>0</v>
      </c>
      <c r="M43" s="808">
        <f>SUM('2.1.7.'!E6)</f>
        <v>4560</v>
      </c>
      <c r="N43" s="1391" t="s">
        <v>64</v>
      </c>
      <c r="O43" s="1391"/>
      <c r="P43" s="1391" t="s">
        <v>20</v>
      </c>
      <c r="Q43" s="1393" t="s">
        <v>96</v>
      </c>
    </row>
    <row r="44" spans="1:17" s="430" customFormat="1" ht="51" customHeight="1">
      <c r="A44" s="1322"/>
      <c r="B44" s="1323"/>
      <c r="C44" s="1320"/>
      <c r="D44" s="1325"/>
      <c r="E44" s="1130" t="s">
        <v>82</v>
      </c>
      <c r="F44" s="808">
        <v>1992</v>
      </c>
      <c r="G44" s="808">
        <v>1992</v>
      </c>
      <c r="H44" s="808">
        <v>1992</v>
      </c>
      <c r="I44" s="445"/>
      <c r="J44" s="808">
        <f>SUM('2.1.7.'!D7)</f>
        <v>10588</v>
      </c>
      <c r="K44" s="808">
        <f>SUM('2.1.7.'!E7)</f>
        <v>10588</v>
      </c>
      <c r="L44" s="808">
        <v>0</v>
      </c>
      <c r="M44" s="808">
        <f>SUM('2.1.7.'!E7)</f>
        <v>10588</v>
      </c>
      <c r="N44" s="1392"/>
      <c r="O44" s="1392"/>
      <c r="P44" s="1399"/>
      <c r="Q44" s="1394"/>
    </row>
    <row r="45" spans="1:17" s="430" customFormat="1" ht="69.75" customHeight="1">
      <c r="A45" s="1150" t="s">
        <v>871</v>
      </c>
      <c r="B45" s="1150" t="s">
        <v>99</v>
      </c>
      <c r="C45" s="1051" t="s">
        <v>876</v>
      </c>
      <c r="D45" s="946" t="s">
        <v>781</v>
      </c>
      <c r="E45" s="820" t="s">
        <v>106</v>
      </c>
      <c r="F45" s="808">
        <v>0</v>
      </c>
      <c r="G45" s="808">
        <v>0</v>
      </c>
      <c r="H45" s="808">
        <f>'2.1.8.'!C5</f>
        <v>33759</v>
      </c>
      <c r="I45" s="808"/>
      <c r="J45" s="808">
        <v>0</v>
      </c>
      <c r="K45" s="808">
        <v>0</v>
      </c>
      <c r="L45" s="808">
        <v>0</v>
      </c>
      <c r="M45" s="808">
        <v>0</v>
      </c>
      <c r="N45" s="1035" t="s">
        <v>100</v>
      </c>
      <c r="O45" s="1017"/>
      <c r="P45" s="1084" t="s">
        <v>798</v>
      </c>
      <c r="Q45" s="1082" t="s">
        <v>90</v>
      </c>
    </row>
    <row r="46" spans="1:17" ht="15.75">
      <c r="A46" s="1429" t="s">
        <v>101</v>
      </c>
      <c r="B46" s="1429"/>
      <c r="C46" s="1430"/>
      <c r="D46" s="1430"/>
      <c r="E46" s="1220"/>
      <c r="F46" s="1221">
        <f>SUM(F47:F59)</f>
        <v>22311053</v>
      </c>
      <c r="G46" s="1221">
        <f t="shared" ref="G46:M46" si="20">SUM(G47:G59)</f>
        <v>22629030</v>
      </c>
      <c r="H46" s="1221">
        <f t="shared" si="20"/>
        <v>22762966</v>
      </c>
      <c r="I46" s="1221">
        <f t="shared" si="20"/>
        <v>0</v>
      </c>
      <c r="J46" s="1221">
        <f t="shared" si="20"/>
        <v>5490618.4749999996</v>
      </c>
      <c r="K46" s="1221">
        <f t="shared" si="20"/>
        <v>5770551.8893499998</v>
      </c>
      <c r="L46" s="1221">
        <f t="shared" si="20"/>
        <v>0</v>
      </c>
      <c r="M46" s="1221">
        <f t="shared" si="20"/>
        <v>6159729.3037</v>
      </c>
      <c r="N46" s="1222"/>
      <c r="O46" s="1222"/>
      <c r="P46" s="1223"/>
      <c r="Q46" s="1224"/>
    </row>
    <row r="47" spans="1:17" s="430" customFormat="1" ht="167.25" customHeight="1">
      <c r="A47" s="975" t="s">
        <v>102</v>
      </c>
      <c r="B47" s="1047" t="s">
        <v>877</v>
      </c>
      <c r="C47" s="1047" t="s">
        <v>878</v>
      </c>
      <c r="D47" s="947" t="s">
        <v>103</v>
      </c>
      <c r="E47" s="824" t="s">
        <v>82</v>
      </c>
      <c r="F47" s="445">
        <v>21010828</v>
      </c>
      <c r="G47" s="445">
        <v>21010828</v>
      </c>
      <c r="H47" s="445">
        <v>21010828</v>
      </c>
      <c r="I47" s="445"/>
      <c r="J47" s="872">
        <f>SUM('2.2.1.'!C5)</f>
        <v>2254308.3314999999</v>
      </c>
      <c r="K47" s="872">
        <f>SUM('2.2.1.'!D5)</f>
        <v>2254308.3314999999</v>
      </c>
      <c r="L47" s="872">
        <v>0</v>
      </c>
      <c r="M47" s="872">
        <f>SUM(K47)</f>
        <v>2254308.3314999999</v>
      </c>
      <c r="N47" s="818" t="s">
        <v>64</v>
      </c>
      <c r="O47" s="959" t="s">
        <v>879</v>
      </c>
      <c r="P47" s="1083" t="s">
        <v>20</v>
      </c>
      <c r="Q47" s="1024" t="s">
        <v>104</v>
      </c>
    </row>
    <row r="48" spans="1:17" s="430" customFormat="1" ht="102" customHeight="1">
      <c r="A48" s="974" t="s">
        <v>105</v>
      </c>
      <c r="B48" s="1014" t="s">
        <v>880</v>
      </c>
      <c r="C48" s="1014" t="s">
        <v>881</v>
      </c>
      <c r="D48" s="944" t="s">
        <v>882</v>
      </c>
      <c r="E48" s="824" t="s">
        <v>106</v>
      </c>
      <c r="F48" s="445">
        <v>0</v>
      </c>
      <c r="G48" s="445">
        <f>'2.2.2'!B5</f>
        <v>36300</v>
      </c>
      <c r="H48" s="445">
        <v>0</v>
      </c>
      <c r="I48" s="445"/>
      <c r="J48" s="445">
        <v>0</v>
      </c>
      <c r="K48" s="445">
        <v>0</v>
      </c>
      <c r="L48" s="445">
        <v>0</v>
      </c>
      <c r="M48" s="445">
        <v>0</v>
      </c>
      <c r="N48" s="818" t="s">
        <v>107</v>
      </c>
      <c r="O48" s="818"/>
      <c r="P48" s="1084" t="s">
        <v>798</v>
      </c>
      <c r="Q48" s="1023" t="s">
        <v>108</v>
      </c>
    </row>
    <row r="49" spans="1:17" s="430" customFormat="1" ht="82.5" customHeight="1">
      <c r="A49" s="1402" t="s">
        <v>109</v>
      </c>
      <c r="B49" s="1401" t="s">
        <v>883</v>
      </c>
      <c r="C49" s="1243" t="s">
        <v>884</v>
      </c>
      <c r="D49" s="1286" t="s">
        <v>887</v>
      </c>
      <c r="E49" s="1131" t="s">
        <v>106</v>
      </c>
      <c r="F49" s="1305">
        <v>0</v>
      </c>
      <c r="G49" s="1305">
        <f>'2.2.3.1'!B5</f>
        <v>36300</v>
      </c>
      <c r="H49" s="817">
        <v>0</v>
      </c>
      <c r="I49" s="816"/>
      <c r="J49" s="816">
        <v>0</v>
      </c>
      <c r="K49" s="816">
        <v>0</v>
      </c>
      <c r="L49" s="816">
        <v>0</v>
      </c>
      <c r="M49" s="816">
        <v>0</v>
      </c>
      <c r="N49" s="963" t="s">
        <v>65</v>
      </c>
      <c r="O49" s="963" t="s">
        <v>111</v>
      </c>
      <c r="P49" s="1084" t="s">
        <v>798</v>
      </c>
      <c r="Q49" s="1022" t="s">
        <v>71</v>
      </c>
    </row>
    <row r="50" spans="1:17" s="430" customFormat="1" ht="56.25" customHeight="1">
      <c r="A50" s="1431"/>
      <c r="B50" s="1431"/>
      <c r="C50" s="1407" t="s">
        <v>886</v>
      </c>
      <c r="D50" s="1408" t="s">
        <v>889</v>
      </c>
      <c r="E50" s="1277" t="s">
        <v>82</v>
      </c>
      <c r="F50" s="1295">
        <v>47432</v>
      </c>
      <c r="G50" s="1295">
        <v>71148</v>
      </c>
      <c r="H50" s="816">
        <v>94864</v>
      </c>
      <c r="I50" s="816"/>
      <c r="J50" s="816">
        <f>SUM('2.2.3.2.'!E7)</f>
        <v>94864</v>
      </c>
      <c r="K50" s="816">
        <f>SUM('2.2.3.2.'!F7)</f>
        <v>94864</v>
      </c>
      <c r="L50" s="816">
        <v>0</v>
      </c>
      <c r="M50" s="816">
        <f>SUM('2.2.3.2.'!G7)</f>
        <v>118580</v>
      </c>
      <c r="N50" s="1395" t="s">
        <v>64</v>
      </c>
      <c r="O50" s="1395" t="s">
        <v>112</v>
      </c>
      <c r="P50" s="1397" t="s">
        <v>20</v>
      </c>
      <c r="Q50" s="1393" t="s">
        <v>66</v>
      </c>
    </row>
    <row r="51" spans="1:17" s="430" customFormat="1" ht="47.25">
      <c r="A51" s="1321"/>
      <c r="B51" s="1321"/>
      <c r="C51" s="1407"/>
      <c r="D51" s="1408"/>
      <c r="E51" s="824" t="s">
        <v>22</v>
      </c>
      <c r="F51" s="809">
        <v>222948</v>
      </c>
      <c r="G51" s="809">
        <v>390159</v>
      </c>
      <c r="H51" s="809">
        <v>557370</v>
      </c>
      <c r="I51" s="809"/>
      <c r="J51" s="816">
        <f>SUM('2.2.3.2.'!E8)</f>
        <v>342112</v>
      </c>
      <c r="K51" s="816">
        <f>SUM('2.2.3.2.'!F8)</f>
        <v>342112</v>
      </c>
      <c r="L51" s="816">
        <v>0</v>
      </c>
      <c r="M51" s="816">
        <f>SUM('2.2.3.2.'!G8)</f>
        <v>427640</v>
      </c>
      <c r="N51" s="1396"/>
      <c r="O51" s="1396"/>
      <c r="P51" s="1398"/>
      <c r="Q51" s="1394"/>
    </row>
    <row r="52" spans="1:17" s="430" customFormat="1" ht="84.75" customHeight="1">
      <c r="A52" s="1402"/>
      <c r="B52" s="1402"/>
      <c r="C52" s="1243" t="s">
        <v>1015</v>
      </c>
      <c r="D52" s="1286" t="s">
        <v>888</v>
      </c>
      <c r="E52" s="1131" t="s">
        <v>106</v>
      </c>
      <c r="F52" s="1305">
        <v>0</v>
      </c>
      <c r="G52" s="1305">
        <f>'2.2.3.3'!B5</f>
        <v>36300</v>
      </c>
      <c r="H52" s="1289">
        <v>0</v>
      </c>
      <c r="I52" s="809"/>
      <c r="J52" s="809">
        <v>0</v>
      </c>
      <c r="K52" s="809">
        <v>0</v>
      </c>
      <c r="L52" s="809">
        <v>0</v>
      </c>
      <c r="M52" s="809">
        <v>0</v>
      </c>
      <c r="N52" s="959" t="s">
        <v>65</v>
      </c>
      <c r="O52" s="959" t="s">
        <v>114</v>
      </c>
      <c r="P52" s="1084" t="s">
        <v>798</v>
      </c>
      <c r="Q52" s="1019" t="s">
        <v>71</v>
      </c>
    </row>
    <row r="53" spans="1:17" s="430" customFormat="1" ht="57.4" customHeight="1">
      <c r="A53" s="1431" t="s">
        <v>110</v>
      </c>
      <c r="B53" s="1320" t="s">
        <v>892</v>
      </c>
      <c r="C53" s="1407" t="s">
        <v>893</v>
      </c>
      <c r="D53" s="1408" t="s">
        <v>895</v>
      </c>
      <c r="E53" s="1202" t="s">
        <v>63</v>
      </c>
      <c r="F53" s="1295">
        <v>655669</v>
      </c>
      <c r="G53" s="1295">
        <v>655669</v>
      </c>
      <c r="H53" s="816">
        <v>655669</v>
      </c>
      <c r="I53" s="816"/>
      <c r="J53" s="816">
        <f>SUM('2.2.4.1.'!C6)</f>
        <v>2555785.9575</v>
      </c>
      <c r="K53" s="816">
        <f>SUM('2.2.4.1.'!D6)</f>
        <v>2811364.5532500003</v>
      </c>
      <c r="L53" s="816">
        <v>0</v>
      </c>
      <c r="M53" s="816">
        <f>SUM('2.2.4.1.'!E6)</f>
        <v>3066943.1490000002</v>
      </c>
      <c r="N53" s="1395" t="s">
        <v>116</v>
      </c>
      <c r="O53" s="1395" t="s">
        <v>117</v>
      </c>
      <c r="P53" s="1397" t="s">
        <v>20</v>
      </c>
      <c r="Q53" s="1393" t="s">
        <v>66</v>
      </c>
    </row>
    <row r="54" spans="1:17" s="430" customFormat="1" ht="75.75" customHeight="1">
      <c r="A54" s="1321"/>
      <c r="B54" s="1319"/>
      <c r="C54" s="1407"/>
      <c r="D54" s="1408"/>
      <c r="E54" s="824" t="s">
        <v>82</v>
      </c>
      <c r="F54" s="809">
        <v>374176</v>
      </c>
      <c r="G54" s="809">
        <v>374176</v>
      </c>
      <c r="H54" s="816">
        <v>374176</v>
      </c>
      <c r="I54" s="809"/>
      <c r="J54" s="816">
        <f>SUM('2.2.4.1.'!C7)</f>
        <v>243548.18600000005</v>
      </c>
      <c r="K54" s="816">
        <f>SUM('2.2.4.1.'!D7)</f>
        <v>267903.00460000004</v>
      </c>
      <c r="L54" s="816">
        <v>0</v>
      </c>
      <c r="M54" s="816">
        <f>SUM('2.2.4.1.'!E7)</f>
        <v>292257.82319999998</v>
      </c>
      <c r="N54" s="1396"/>
      <c r="O54" s="1396"/>
      <c r="P54" s="1398"/>
      <c r="Q54" s="1394"/>
    </row>
    <row r="55" spans="1:17" s="430" customFormat="1" ht="122.25" customHeight="1">
      <c r="A55" s="1402"/>
      <c r="B55" s="1401"/>
      <c r="C55" s="1243" t="s">
        <v>894</v>
      </c>
      <c r="D55" s="1286" t="s">
        <v>896</v>
      </c>
      <c r="E55" s="1131" t="s">
        <v>106</v>
      </c>
      <c r="F55" s="1305">
        <v>0</v>
      </c>
      <c r="G55" s="1305">
        <v>0</v>
      </c>
      <c r="H55" s="1289">
        <f>'2.2.4.2'!C5</f>
        <v>36300</v>
      </c>
      <c r="I55" s="809"/>
      <c r="J55" s="809">
        <v>0</v>
      </c>
      <c r="K55" s="809">
        <v>0</v>
      </c>
      <c r="L55" s="809">
        <v>0</v>
      </c>
      <c r="M55" s="809">
        <v>0</v>
      </c>
      <c r="N55" s="959" t="s">
        <v>118</v>
      </c>
      <c r="O55" s="1032"/>
      <c r="P55" s="1084" t="s">
        <v>798</v>
      </c>
      <c r="Q55" s="1019" t="s">
        <v>119</v>
      </c>
    </row>
    <row r="56" spans="1:17" s="430" customFormat="1" ht="87" customHeight="1">
      <c r="A56" s="1265" t="s">
        <v>115</v>
      </c>
      <c r="B56" s="1243" t="s">
        <v>897</v>
      </c>
      <c r="C56" s="1243" t="s">
        <v>898</v>
      </c>
      <c r="D56" s="1286" t="s">
        <v>121</v>
      </c>
      <c r="E56" s="1131" t="s">
        <v>106</v>
      </c>
      <c r="F56" s="1305">
        <v>0</v>
      </c>
      <c r="G56" s="1305">
        <v>0</v>
      </c>
      <c r="H56" s="1289">
        <f>'2.2.5.'!C5</f>
        <v>33759</v>
      </c>
      <c r="I56" s="809"/>
      <c r="J56" s="809">
        <v>0</v>
      </c>
      <c r="K56" s="809">
        <v>0</v>
      </c>
      <c r="L56" s="809">
        <v>0</v>
      </c>
      <c r="M56" s="809">
        <v>0</v>
      </c>
      <c r="N56" s="959" t="s">
        <v>100</v>
      </c>
      <c r="O56" s="1033"/>
      <c r="P56" s="1084" t="s">
        <v>798</v>
      </c>
      <c r="Q56" s="1019" t="s">
        <v>90</v>
      </c>
    </row>
    <row r="57" spans="1:17" s="430" customFormat="1" ht="81.75" customHeight="1">
      <c r="A57" s="1265" t="s">
        <v>120</v>
      </c>
      <c r="B57" s="1243" t="s">
        <v>900</v>
      </c>
      <c r="C57" s="1243" t="s">
        <v>901</v>
      </c>
      <c r="D57" s="1286" t="s">
        <v>902</v>
      </c>
      <c r="E57" s="1131" t="s">
        <v>106</v>
      </c>
      <c r="F57" s="1305">
        <v>0</v>
      </c>
      <c r="G57" s="1305">
        <f>'2.2.6.'!B5</f>
        <v>18150</v>
      </c>
      <c r="H57" s="1289">
        <v>0</v>
      </c>
      <c r="I57" s="809"/>
      <c r="J57" s="809">
        <v>0</v>
      </c>
      <c r="K57" s="809">
        <v>0</v>
      </c>
      <c r="L57" s="809">
        <v>0</v>
      </c>
      <c r="M57" s="809">
        <v>0</v>
      </c>
      <c r="N57" s="959" t="s">
        <v>34</v>
      </c>
      <c r="O57" s="959" t="s">
        <v>123</v>
      </c>
      <c r="P57" s="1156" t="s">
        <v>798</v>
      </c>
      <c r="Q57" s="1019" t="s">
        <v>80</v>
      </c>
    </row>
    <row r="58" spans="1:17" s="526" customFormat="1" ht="47.25">
      <c r="A58" s="1332" t="s">
        <v>122</v>
      </c>
      <c r="B58" s="1332" t="s">
        <v>903</v>
      </c>
      <c r="C58" s="1296" t="s">
        <v>904</v>
      </c>
      <c r="D58" s="1334" t="s">
        <v>906</v>
      </c>
      <c r="E58" s="1297"/>
      <c r="F58" s="1298">
        <v>0</v>
      </c>
      <c r="G58" s="1298">
        <v>0</v>
      </c>
      <c r="H58" s="1161">
        <v>0</v>
      </c>
      <c r="I58" s="1161"/>
      <c r="J58" s="1161">
        <v>0</v>
      </c>
      <c r="K58" s="1161">
        <v>0</v>
      </c>
      <c r="L58" s="1161">
        <v>0</v>
      </c>
      <c r="M58" s="1161">
        <v>0</v>
      </c>
      <c r="N58" s="1157" t="s">
        <v>124</v>
      </c>
      <c r="O58" s="1157" t="s">
        <v>125</v>
      </c>
      <c r="P58" s="1162" t="s">
        <v>799</v>
      </c>
      <c r="Q58" s="1230" t="s">
        <v>93</v>
      </c>
    </row>
    <row r="59" spans="1:17" s="526" customFormat="1" ht="91.5" customHeight="1">
      <c r="A59" s="1333"/>
      <c r="B59" s="1333"/>
      <c r="C59" s="1158" t="s">
        <v>905</v>
      </c>
      <c r="D59" s="1335"/>
      <c r="E59" s="1160"/>
      <c r="F59" s="1161">
        <v>0</v>
      </c>
      <c r="G59" s="1161">
        <v>0</v>
      </c>
      <c r="H59" s="1161">
        <v>0</v>
      </c>
      <c r="I59" s="1161"/>
      <c r="J59" s="1161">
        <v>0</v>
      </c>
      <c r="K59" s="1161">
        <v>0</v>
      </c>
      <c r="L59" s="1161">
        <v>0</v>
      </c>
      <c r="M59" s="1161">
        <v>0</v>
      </c>
      <c r="N59" s="1157"/>
      <c r="O59" s="1157"/>
      <c r="P59" s="1162" t="s">
        <v>799</v>
      </c>
      <c r="Q59" s="1230"/>
    </row>
    <row r="60" spans="1:17" s="430" customFormat="1" ht="15.75">
      <c r="A60" s="1426" t="s">
        <v>126</v>
      </c>
      <c r="B60" s="1426"/>
      <c r="C60" s="1426"/>
      <c r="D60" s="1426"/>
      <c r="E60" s="1225"/>
      <c r="F60" s="1226">
        <f t="shared" ref="F60:M60" si="21">SUM(F61:F69)</f>
        <v>51594697</v>
      </c>
      <c r="G60" s="1226">
        <f t="shared" si="21"/>
        <v>51845041</v>
      </c>
      <c r="H60" s="1226">
        <f t="shared" si="21"/>
        <v>51845041</v>
      </c>
      <c r="I60" s="1226">
        <f t="shared" si="21"/>
        <v>0</v>
      </c>
      <c r="J60" s="1226">
        <f t="shared" si="21"/>
        <v>14839079.67</v>
      </c>
      <c r="K60" s="1226">
        <f>SUM(K61:K69)</f>
        <v>15820017.970000001</v>
      </c>
      <c r="L60" s="1226">
        <f t="shared" si="21"/>
        <v>0</v>
      </c>
      <c r="M60" s="1226">
        <f t="shared" si="21"/>
        <v>15898466.550000001</v>
      </c>
      <c r="N60" s="1227"/>
      <c r="O60" s="1227"/>
      <c r="P60" s="1228"/>
      <c r="Q60" s="1229"/>
    </row>
    <row r="61" spans="1:17" s="430" customFormat="1" ht="135.75" customHeight="1">
      <c r="A61" s="1446" t="s">
        <v>127</v>
      </c>
      <c r="B61" s="1415" t="s">
        <v>907</v>
      </c>
      <c r="C61" s="1153" t="s">
        <v>908</v>
      </c>
      <c r="D61" s="1165" t="s">
        <v>912</v>
      </c>
      <c r="E61" s="1164" t="s">
        <v>22</v>
      </c>
      <c r="F61" s="1370">
        <v>12162113</v>
      </c>
      <c r="G61" s="1370">
        <v>12162113</v>
      </c>
      <c r="H61" s="1370">
        <v>12162113</v>
      </c>
      <c r="I61" s="808"/>
      <c r="J61" s="812">
        <f>'2.3.1.1.-2.3.1.3.,2.3.2.-2.3.5.'!J12</f>
        <v>141697.5</v>
      </c>
      <c r="K61" s="812">
        <f>'2.3.1.1.-2.3.1.3.,2.3.2.-2.3.5.'!K12</f>
        <v>283395</v>
      </c>
      <c r="L61" s="812">
        <v>0</v>
      </c>
      <c r="M61" s="812">
        <f>'2.3.1.1.-2.3.1.3.,2.3.2.-2.3.5.'!L12</f>
        <v>283395</v>
      </c>
      <c r="N61" s="958" t="s">
        <v>64</v>
      </c>
      <c r="O61" s="958" t="s">
        <v>69</v>
      </c>
      <c r="P61" s="1083" t="s">
        <v>20</v>
      </c>
      <c r="Q61" s="1013" t="s">
        <v>71</v>
      </c>
    </row>
    <row r="62" spans="1:17" s="430" customFormat="1" ht="102" customHeight="1">
      <c r="A62" s="1446"/>
      <c r="B62" s="1407"/>
      <c r="C62" s="1030" t="s">
        <v>909</v>
      </c>
      <c r="D62" s="1149" t="s">
        <v>911</v>
      </c>
      <c r="E62" s="820" t="s">
        <v>22</v>
      </c>
      <c r="F62" s="1371"/>
      <c r="G62" s="1371"/>
      <c r="H62" s="1371"/>
      <c r="I62" s="808"/>
      <c r="J62" s="812">
        <f>'2.3.1.1.-2.3.1.3.,2.3.2.-2.3.5.'!J13</f>
        <v>156897.16</v>
      </c>
      <c r="K62" s="812">
        <f>'2.3.1.1.-2.3.1.3.,2.3.2.-2.3.5.'!K13</f>
        <v>235345.74</v>
      </c>
      <c r="L62" s="812">
        <v>0</v>
      </c>
      <c r="M62" s="812">
        <f>'2.3.1.1.-2.3.1.3.,2.3.2.-2.3.5.'!L13</f>
        <v>313794.32</v>
      </c>
      <c r="N62" s="958" t="s">
        <v>64</v>
      </c>
      <c r="O62" s="958" t="s">
        <v>69</v>
      </c>
      <c r="P62" s="1083" t="s">
        <v>20</v>
      </c>
      <c r="Q62" s="1013" t="s">
        <v>71</v>
      </c>
    </row>
    <row r="63" spans="1:17" s="430" customFormat="1" ht="101.25" customHeight="1">
      <c r="A63" s="1409"/>
      <c r="B63" s="1416"/>
      <c r="C63" s="984" t="s">
        <v>128</v>
      </c>
      <c r="D63" s="948" t="s">
        <v>910</v>
      </c>
      <c r="E63" s="824" t="s">
        <v>22</v>
      </c>
      <c r="F63" s="1372"/>
      <c r="G63" s="1372"/>
      <c r="H63" s="1372"/>
      <c r="I63" s="445"/>
      <c r="J63" s="813">
        <f>'2.3.1.1.-2.3.1.3.,2.3.2.-2.3.5.'!J14</f>
        <v>153847.75</v>
      </c>
      <c r="K63" s="813">
        <f>'2.3.1.1.-2.3.1.3.,2.3.2.-2.3.5.'!K14</f>
        <v>307371.61</v>
      </c>
      <c r="L63" s="813">
        <v>0</v>
      </c>
      <c r="M63" s="813">
        <f>'2.3.1.1.-2.3.1.3.,2.3.2.-2.3.5.'!L14</f>
        <v>307371.61</v>
      </c>
      <c r="N63" s="818" t="s">
        <v>64</v>
      </c>
      <c r="O63" s="818" t="s">
        <v>69</v>
      </c>
      <c r="P63" s="1083" t="s">
        <v>20</v>
      </c>
      <c r="Q63" s="1014" t="s">
        <v>66</v>
      </c>
    </row>
    <row r="64" spans="1:17" s="430" customFormat="1" ht="116.25" customHeight="1">
      <c r="A64" s="977" t="s">
        <v>129</v>
      </c>
      <c r="B64" s="1030" t="s">
        <v>913</v>
      </c>
      <c r="C64" s="1030" t="s">
        <v>915</v>
      </c>
      <c r="D64" s="949" t="s">
        <v>916</v>
      </c>
      <c r="E64" s="824" t="s">
        <v>22</v>
      </c>
      <c r="F64" s="808">
        <v>0</v>
      </c>
      <c r="G64" s="808">
        <v>0</v>
      </c>
      <c r="H64" s="808">
        <v>0</v>
      </c>
      <c r="I64" s="808"/>
      <c r="J64" s="812">
        <f>'2.3.1.1.-2.3.1.3.,2.3.2.-2.3.5.'!J15</f>
        <v>607268.3600000001</v>
      </c>
      <c r="K64" s="812">
        <f>'2.3.1.1.-2.3.1.3.,2.3.2.-2.3.5.'!K15</f>
        <v>1214536.7200000002</v>
      </c>
      <c r="L64" s="812">
        <v>0</v>
      </c>
      <c r="M64" s="812">
        <f>'2.3.1.1.-2.3.1.3.,2.3.2.-2.3.5.'!L15</f>
        <v>1214536.7200000002</v>
      </c>
      <c r="N64" s="958" t="s">
        <v>64</v>
      </c>
      <c r="O64" s="958"/>
      <c r="P64" s="1083" t="s">
        <v>20</v>
      </c>
      <c r="Q64" s="1025" t="s">
        <v>130</v>
      </c>
    </row>
    <row r="65" spans="1:17" s="430" customFormat="1" ht="51" customHeight="1">
      <c r="A65" s="972" t="s">
        <v>131</v>
      </c>
      <c r="B65" s="1048" t="s">
        <v>134</v>
      </c>
      <c r="C65" s="1048" t="s">
        <v>918</v>
      </c>
      <c r="D65" s="950" t="s">
        <v>919</v>
      </c>
      <c r="E65" s="824" t="s">
        <v>22</v>
      </c>
      <c r="F65" s="847">
        <v>38320409</v>
      </c>
      <c r="G65" s="847">
        <v>38320409</v>
      </c>
      <c r="H65" s="847">
        <v>38320409</v>
      </c>
      <c r="I65" s="445"/>
      <c r="J65" s="813">
        <v>12771914.4</v>
      </c>
      <c r="K65" s="813">
        <v>12771914.4</v>
      </c>
      <c r="L65" s="813">
        <v>0</v>
      </c>
      <c r="M65" s="813">
        <v>12771914.4</v>
      </c>
      <c r="N65" s="818" t="s">
        <v>64</v>
      </c>
      <c r="O65" s="818"/>
      <c r="P65" s="1262" t="s">
        <v>20</v>
      </c>
      <c r="Q65" s="1026" t="s">
        <v>93</v>
      </c>
    </row>
    <row r="66" spans="1:17" s="430" customFormat="1" ht="94.5" customHeight="1">
      <c r="A66" s="1373" t="s">
        <v>132</v>
      </c>
      <c r="B66" s="1375" t="s">
        <v>920</v>
      </c>
      <c r="C66" s="1375" t="s">
        <v>921</v>
      </c>
      <c r="D66" s="1377" t="s">
        <v>922</v>
      </c>
      <c r="E66" s="1131" t="s">
        <v>22</v>
      </c>
      <c r="F66" s="1261">
        <v>0</v>
      </c>
      <c r="G66" s="1261">
        <v>0</v>
      </c>
      <c r="H66" s="1261">
        <v>0</v>
      </c>
      <c r="I66" s="1256"/>
      <c r="J66" s="1261">
        <f>'2.3.1.1.-2.3.1.3.,2.3.2.-2.3.5.'!J17</f>
        <v>232489.5</v>
      </c>
      <c r="K66" s="1261">
        <f>'2.3.1.1.-2.3.1.3.,2.3.2.-2.3.5.'!K17</f>
        <v>232489.5</v>
      </c>
      <c r="L66" s="1261">
        <v>0</v>
      </c>
      <c r="M66" s="1261">
        <f>'2.3.1.1.-2.3.1.3.,2.3.2.-2.3.5.'!L17</f>
        <v>232489.5</v>
      </c>
      <c r="N66" s="1343" t="s">
        <v>64</v>
      </c>
      <c r="O66" s="1343" t="s">
        <v>65</v>
      </c>
      <c r="P66" s="1343" t="s">
        <v>20</v>
      </c>
      <c r="Q66" s="1345" t="s">
        <v>130</v>
      </c>
    </row>
    <row r="67" spans="1:17" s="430" customFormat="1" ht="47.25">
      <c r="A67" s="1374"/>
      <c r="B67" s="1376"/>
      <c r="C67" s="1376"/>
      <c r="D67" s="1378"/>
      <c r="E67" s="1257" t="s">
        <v>86</v>
      </c>
      <c r="F67" s="1383">
        <v>1112175</v>
      </c>
      <c r="G67" s="1383">
        <v>1362519</v>
      </c>
      <c r="H67" s="1383">
        <v>1362519</v>
      </c>
      <c r="I67" s="819"/>
      <c r="J67" s="1119">
        <v>0</v>
      </c>
      <c r="K67" s="1119">
        <v>0</v>
      </c>
      <c r="L67" s="1119">
        <v>0</v>
      </c>
      <c r="M67" s="1119">
        <v>0</v>
      </c>
      <c r="N67" s="1344"/>
      <c r="O67" s="1344"/>
      <c r="P67" s="1344"/>
      <c r="Q67" s="1344"/>
    </row>
    <row r="68" spans="1:17" s="430" customFormat="1" ht="47.25">
      <c r="A68" s="1379" t="s">
        <v>133</v>
      </c>
      <c r="B68" s="1381" t="s">
        <v>923</v>
      </c>
      <c r="C68" s="1381" t="s">
        <v>924</v>
      </c>
      <c r="D68" s="1457" t="s">
        <v>925</v>
      </c>
      <c r="E68" s="1135" t="s">
        <v>86</v>
      </c>
      <c r="F68" s="1383"/>
      <c r="G68" s="1383"/>
      <c r="H68" s="1383"/>
      <c r="I68" s="819"/>
      <c r="J68" s="445">
        <v>0</v>
      </c>
      <c r="K68" s="445">
        <v>0</v>
      </c>
      <c r="L68" s="445">
        <v>0</v>
      </c>
      <c r="M68" s="445">
        <v>0</v>
      </c>
      <c r="N68" s="1315" t="s">
        <v>64</v>
      </c>
      <c r="O68" s="1315" t="s">
        <v>65</v>
      </c>
      <c r="P68" s="1315" t="s">
        <v>20</v>
      </c>
      <c r="Q68" s="1315" t="s">
        <v>130</v>
      </c>
    </row>
    <row r="69" spans="1:17" s="430" customFormat="1" ht="78.75" customHeight="1">
      <c r="A69" s="1380"/>
      <c r="B69" s="1382"/>
      <c r="C69" s="1382"/>
      <c r="D69" s="1458"/>
      <c r="E69" s="1131" t="s">
        <v>22</v>
      </c>
      <c r="F69" s="1261">
        <v>0</v>
      </c>
      <c r="G69" s="1261">
        <v>0</v>
      </c>
      <c r="H69" s="1261">
        <v>0</v>
      </c>
      <c r="I69" s="1256"/>
      <c r="J69" s="1261">
        <f>'2.3.1.1.-2.3.1.3.,2.3.2.-2.3.5.'!J18</f>
        <v>774965</v>
      </c>
      <c r="K69" s="1261">
        <f>'2.3.1.1.-2.3.1.3.,2.3.2.-2.3.5.'!K18</f>
        <v>774965</v>
      </c>
      <c r="L69" s="1261">
        <v>0</v>
      </c>
      <c r="M69" s="1261">
        <f>'2.3.1.1.-2.3.1.3.,2.3.2.-2.3.5.'!L18</f>
        <v>774965</v>
      </c>
      <c r="N69" s="1343"/>
      <c r="O69" s="1343"/>
      <c r="P69" s="1343"/>
      <c r="Q69" s="1316"/>
    </row>
    <row r="70" spans="1:17" s="430" customFormat="1" ht="16.5" thickBot="1">
      <c r="A70" s="1425" t="s">
        <v>1013</v>
      </c>
      <c r="B70" s="1425"/>
      <c r="C70" s="1425"/>
      <c r="D70" s="1426"/>
      <c r="E70" s="1258"/>
      <c r="F70" s="1259">
        <f t="shared" ref="F70:M70" si="22">SUM(F71:F86)</f>
        <v>31985769.399999999</v>
      </c>
      <c r="G70" s="1259">
        <f t="shared" si="22"/>
        <v>31985769.399999999</v>
      </c>
      <c r="H70" s="1259">
        <f t="shared" si="22"/>
        <v>32568384.399999999</v>
      </c>
      <c r="I70" s="1221">
        <f t="shared" si="22"/>
        <v>0</v>
      </c>
      <c r="J70" s="1259">
        <f t="shared" si="22"/>
        <v>17039958.9608</v>
      </c>
      <c r="K70" s="1259">
        <f>SUM(K71:K86)</f>
        <v>20715869.107919998</v>
      </c>
      <c r="L70" s="1259">
        <f t="shared" si="22"/>
        <v>0</v>
      </c>
      <c r="M70" s="1259">
        <f t="shared" si="22"/>
        <v>21165586.647920001</v>
      </c>
      <c r="N70" s="1260"/>
      <c r="O70" s="1231"/>
      <c r="P70" s="1232"/>
      <c r="Q70" s="1233"/>
    </row>
    <row r="71" spans="1:17" s="1168" customFormat="1" ht="174" customHeight="1" thickBot="1">
      <c r="A71" s="1160" t="s">
        <v>136</v>
      </c>
      <c r="B71" s="1160" t="s">
        <v>137</v>
      </c>
      <c r="C71" s="1160" t="s">
        <v>836</v>
      </c>
      <c r="D71" s="1306" t="s">
        <v>837</v>
      </c>
      <c r="E71" s="1160" t="s">
        <v>106</v>
      </c>
      <c r="F71" s="1307">
        <v>0</v>
      </c>
      <c r="G71" s="1307">
        <v>0</v>
      </c>
      <c r="H71" s="1290">
        <f>'2.4.1'!C5</f>
        <v>582615</v>
      </c>
      <c r="I71" s="1166"/>
      <c r="J71" s="1166">
        <v>0</v>
      </c>
      <c r="K71" s="1166">
        <v>0</v>
      </c>
      <c r="L71" s="1166">
        <v>0</v>
      </c>
      <c r="M71" s="1166">
        <v>0</v>
      </c>
      <c r="N71" s="1169" t="s">
        <v>834</v>
      </c>
      <c r="O71" s="1167"/>
      <c r="P71" s="1156" t="s">
        <v>798</v>
      </c>
      <c r="Q71" s="1234" t="s">
        <v>83</v>
      </c>
    </row>
    <row r="72" spans="1:17" s="430" customFormat="1" ht="70.5" customHeight="1">
      <c r="A72" s="1320" t="s">
        <v>138</v>
      </c>
      <c r="B72" s="1413" t="s">
        <v>139</v>
      </c>
      <c r="C72" s="1299" t="s">
        <v>140</v>
      </c>
      <c r="D72" s="1163" t="s">
        <v>932</v>
      </c>
      <c r="E72" s="1300" t="s">
        <v>141</v>
      </c>
      <c r="F72" s="1295">
        <v>0</v>
      </c>
      <c r="G72" s="1295">
        <v>0</v>
      </c>
      <c r="H72" s="816">
        <v>0</v>
      </c>
      <c r="I72" s="816"/>
      <c r="J72" s="816">
        <v>0</v>
      </c>
      <c r="K72" s="816">
        <v>0</v>
      </c>
      <c r="L72" s="816">
        <v>0</v>
      </c>
      <c r="M72" s="816">
        <v>0</v>
      </c>
      <c r="N72" s="963" t="s">
        <v>142</v>
      </c>
      <c r="O72" s="958" t="s">
        <v>79</v>
      </c>
      <c r="P72" s="1012" t="s">
        <v>799</v>
      </c>
      <c r="Q72" s="1080" t="s">
        <v>83</v>
      </c>
    </row>
    <row r="73" spans="1:17" s="430" customFormat="1" ht="68.25" customHeight="1">
      <c r="A73" s="1412"/>
      <c r="B73" s="1414"/>
      <c r="C73" s="1121" t="s">
        <v>143</v>
      </c>
      <c r="D73" s="1120" t="s">
        <v>933</v>
      </c>
      <c r="E73" s="1136" t="s">
        <v>141</v>
      </c>
      <c r="F73" s="816">
        <v>0</v>
      </c>
      <c r="G73" s="816">
        <v>0</v>
      </c>
      <c r="H73" s="816">
        <v>0</v>
      </c>
      <c r="I73" s="816"/>
      <c r="J73" s="816">
        <v>0</v>
      </c>
      <c r="K73" s="816">
        <v>0</v>
      </c>
      <c r="L73" s="816">
        <v>0</v>
      </c>
      <c r="M73" s="816">
        <v>0</v>
      </c>
      <c r="N73" s="963" t="s">
        <v>144</v>
      </c>
      <c r="O73" s="958" t="s">
        <v>79</v>
      </c>
      <c r="P73" s="1012" t="s">
        <v>799</v>
      </c>
      <c r="Q73" s="1025" t="s">
        <v>83</v>
      </c>
    </row>
    <row r="74" spans="1:17" s="430" customFormat="1" ht="67.5" customHeight="1">
      <c r="A74" s="1412"/>
      <c r="B74" s="1414"/>
      <c r="C74" s="1121" t="s">
        <v>931</v>
      </c>
      <c r="D74" s="1120" t="s">
        <v>934</v>
      </c>
      <c r="E74" s="1136" t="s">
        <v>141</v>
      </c>
      <c r="F74" s="816">
        <v>0</v>
      </c>
      <c r="G74" s="816">
        <v>0</v>
      </c>
      <c r="H74" s="816">
        <v>0</v>
      </c>
      <c r="I74" s="816"/>
      <c r="J74" s="816">
        <v>0</v>
      </c>
      <c r="K74" s="816">
        <v>0</v>
      </c>
      <c r="L74" s="816">
        <v>0</v>
      </c>
      <c r="M74" s="816">
        <v>0</v>
      </c>
      <c r="N74" s="1036" t="s">
        <v>144</v>
      </c>
      <c r="O74" s="1017" t="s">
        <v>79</v>
      </c>
      <c r="P74" s="1146" t="s">
        <v>799</v>
      </c>
      <c r="Q74" s="1170" t="s">
        <v>83</v>
      </c>
    </row>
    <row r="75" spans="1:17" s="526" customFormat="1" ht="87" customHeight="1">
      <c r="A75" s="1409" t="s">
        <v>145</v>
      </c>
      <c r="B75" s="1415" t="s">
        <v>935</v>
      </c>
      <c r="C75" s="1171" t="s">
        <v>146</v>
      </c>
      <c r="D75" s="985" t="s">
        <v>147</v>
      </c>
      <c r="E75" s="980"/>
      <c r="F75" s="1172">
        <v>0</v>
      </c>
      <c r="G75" s="1172">
        <v>0</v>
      </c>
      <c r="H75" s="1172">
        <v>0</v>
      </c>
      <c r="I75" s="1172"/>
      <c r="J75" s="1172">
        <v>0</v>
      </c>
      <c r="K75" s="1172">
        <v>0</v>
      </c>
      <c r="L75" s="1172">
        <v>0</v>
      </c>
      <c r="M75" s="1172">
        <v>0</v>
      </c>
      <c r="N75" s="1173" t="s">
        <v>64</v>
      </c>
      <c r="O75" s="1173" t="s">
        <v>148</v>
      </c>
      <c r="P75" s="1146" t="s">
        <v>799</v>
      </c>
      <c r="Q75" s="1171" t="s">
        <v>96</v>
      </c>
    </row>
    <row r="76" spans="1:17" s="1175" customFormat="1" ht="53.25" customHeight="1">
      <c r="A76" s="1350"/>
      <c r="B76" s="1407"/>
      <c r="C76" s="1415" t="s">
        <v>936</v>
      </c>
      <c r="D76" s="1361" t="s">
        <v>937</v>
      </c>
      <c r="E76" s="824" t="s">
        <v>86</v>
      </c>
      <c r="F76" s="1174">
        <v>1476006</v>
      </c>
      <c r="G76" s="1174">
        <v>1476006</v>
      </c>
      <c r="H76" s="1174">
        <v>1476006</v>
      </c>
      <c r="I76" s="1174"/>
      <c r="J76" s="1174">
        <f>'2.4.3.1.-2.4.3.2.'!D5</f>
        <v>5174226.6720000003</v>
      </c>
      <c r="K76" s="1174">
        <f>'2.4.3.1.-2.4.3.2.'!E5</f>
        <v>6039196</v>
      </c>
      <c r="L76" s="1174">
        <v>0</v>
      </c>
      <c r="M76" s="1174">
        <v>6039311.2000000002</v>
      </c>
      <c r="N76" s="1359" t="s">
        <v>64</v>
      </c>
      <c r="O76" s="1359" t="s">
        <v>148</v>
      </c>
      <c r="P76" s="1359" t="s">
        <v>20</v>
      </c>
      <c r="Q76" s="1455" t="s">
        <v>96</v>
      </c>
    </row>
    <row r="77" spans="1:17" s="1175" customFormat="1" ht="65.25" customHeight="1">
      <c r="A77" s="1351"/>
      <c r="B77" s="1416"/>
      <c r="C77" s="1416"/>
      <c r="D77" s="1362"/>
      <c r="E77" s="824" t="s">
        <v>82</v>
      </c>
      <c r="F77" s="1174">
        <v>0</v>
      </c>
      <c r="G77" s="1174">
        <v>0</v>
      </c>
      <c r="H77" s="1174">
        <v>0</v>
      </c>
      <c r="I77" s="1174"/>
      <c r="J77" s="1174">
        <f>'2.4.3.1.-2.4.3.2.'!D6</f>
        <v>1580720.5859999999</v>
      </c>
      <c r="K77" s="1174">
        <f>SUM('2.4.3.1.-2.4.3.2.'!E6)</f>
        <v>1831589.5999999999</v>
      </c>
      <c r="L77" s="1174">
        <v>0</v>
      </c>
      <c r="M77" s="1174">
        <f>K77</f>
        <v>1831589.5999999999</v>
      </c>
      <c r="N77" s="1360"/>
      <c r="O77" s="1360"/>
      <c r="P77" s="1360"/>
      <c r="Q77" s="1456"/>
    </row>
    <row r="78" spans="1:17" s="430" customFormat="1" ht="57.75" customHeight="1">
      <c r="A78" s="974" t="s">
        <v>150</v>
      </c>
      <c r="B78" s="1014" t="s">
        <v>939</v>
      </c>
      <c r="C78" s="1050" t="s">
        <v>940</v>
      </c>
      <c r="D78" s="954" t="s">
        <v>941</v>
      </c>
      <c r="E78" s="1205" t="s">
        <v>86</v>
      </c>
      <c r="F78" s="1261">
        <v>0</v>
      </c>
      <c r="G78" s="1261">
        <v>0</v>
      </c>
      <c r="H78" s="1261">
        <v>0</v>
      </c>
      <c r="I78" s="1273"/>
      <c r="J78" s="1261">
        <f>SUM('2.4.4.'!D5)</f>
        <v>247567.5128</v>
      </c>
      <c r="K78" s="1261">
        <f>SUM('2.4.4.'!E5)</f>
        <v>346594.51792000001</v>
      </c>
      <c r="L78" s="1261">
        <v>0</v>
      </c>
      <c r="M78" s="819">
        <f>SUM('2.4.4.'!E5)</f>
        <v>346594.51792000001</v>
      </c>
      <c r="N78" s="818" t="s">
        <v>64</v>
      </c>
      <c r="O78" s="1267" t="s">
        <v>148</v>
      </c>
      <c r="P78" s="818" t="s">
        <v>20</v>
      </c>
      <c r="Q78" s="1014" t="s">
        <v>96</v>
      </c>
    </row>
    <row r="79" spans="1:17" s="430" customFormat="1" ht="135.75" customHeight="1">
      <c r="A79" s="1349" t="s">
        <v>151</v>
      </c>
      <c r="B79" s="1382" t="s">
        <v>943</v>
      </c>
      <c r="C79" s="1158" t="s">
        <v>944</v>
      </c>
      <c r="D79" s="1159" t="s">
        <v>946</v>
      </c>
      <c r="E79" s="1131" t="s">
        <v>950</v>
      </c>
      <c r="F79" s="1275">
        <f>'2.4.5.1. '!B6</f>
        <v>8086606</v>
      </c>
      <c r="G79" s="1275">
        <f>F79</f>
        <v>8086606</v>
      </c>
      <c r="H79" s="1275">
        <f>G79</f>
        <v>8086606</v>
      </c>
      <c r="I79" s="1256"/>
      <c r="J79" s="1275">
        <f>'2.4.5.1. '!C6</f>
        <v>3923560.4800000004</v>
      </c>
      <c r="K79" s="1275">
        <f>SUM(J79)</f>
        <v>3923560.4800000004</v>
      </c>
      <c r="L79" s="1275">
        <v>0</v>
      </c>
      <c r="M79" s="1261">
        <f>SUM(K79)</f>
        <v>3923560.4800000004</v>
      </c>
      <c r="N79" s="1083" t="s">
        <v>64</v>
      </c>
      <c r="O79" s="1083" t="s">
        <v>152</v>
      </c>
      <c r="P79" s="1083" t="s">
        <v>20</v>
      </c>
      <c r="Q79" s="1444" t="s">
        <v>87</v>
      </c>
    </row>
    <row r="80" spans="1:17" s="430" customFormat="1" ht="54.75" customHeight="1">
      <c r="A80" s="1417"/>
      <c r="B80" s="1335"/>
      <c r="C80" s="1185" t="s">
        <v>945</v>
      </c>
      <c r="D80" s="1268" t="s">
        <v>947</v>
      </c>
      <c r="E80" s="1272" t="s">
        <v>86</v>
      </c>
      <c r="F80" s="1261">
        <f>'2.4.5.2. '!B6</f>
        <v>18885327</v>
      </c>
      <c r="G80" s="1261">
        <f>F80</f>
        <v>18885327</v>
      </c>
      <c r="H80" s="1261">
        <f>G80</f>
        <v>18885327</v>
      </c>
      <c r="I80" s="1256"/>
      <c r="J80" s="1266">
        <f>'2.4.5.2. '!C6</f>
        <v>3948743.9099999997</v>
      </c>
      <c r="K80" s="1266">
        <f>SUM(J80)</f>
        <v>3948743.9099999997</v>
      </c>
      <c r="L80" s="1266">
        <v>0</v>
      </c>
      <c r="M80" s="1274">
        <f>SUM(K80)</f>
        <v>3948743.9099999997</v>
      </c>
      <c r="N80" s="1269" t="s">
        <v>64</v>
      </c>
      <c r="O80" s="1270" t="s">
        <v>951</v>
      </c>
      <c r="P80" s="1271" t="s">
        <v>20</v>
      </c>
      <c r="Q80" s="1396"/>
    </row>
    <row r="81" spans="1:17" s="430" customFormat="1" ht="147.75" customHeight="1">
      <c r="A81" s="974" t="s">
        <v>153</v>
      </c>
      <c r="B81" s="1047" t="s">
        <v>956</v>
      </c>
      <c r="C81" s="971" t="s">
        <v>957</v>
      </c>
      <c r="D81" s="957" t="s">
        <v>154</v>
      </c>
      <c r="E81" s="1130" t="str">
        <f>'2.4.6'!A6</f>
        <v>33.18.00 Plānveida stacionāro veselības aprūpes pakalpojumu nodrošināšana</v>
      </c>
      <c r="F81" s="1119">
        <v>3537830.4</v>
      </c>
      <c r="G81" s="1119">
        <v>3537830.4</v>
      </c>
      <c r="H81" s="1119">
        <v>3537830.4</v>
      </c>
      <c r="I81" s="808"/>
      <c r="J81" s="1119">
        <f>SUM('2.4.6'!C6)</f>
        <v>1672783.7999999998</v>
      </c>
      <c r="K81" s="1119">
        <f>SUM('2.4.6'!D6)</f>
        <v>3764561.5999999996</v>
      </c>
      <c r="L81" s="1119">
        <v>0</v>
      </c>
      <c r="M81" s="445">
        <f>SUM(K81)</f>
        <v>3764561.5999999996</v>
      </c>
      <c r="N81" s="818" t="s">
        <v>64</v>
      </c>
      <c r="O81" s="961" t="s">
        <v>155</v>
      </c>
      <c r="P81" s="1189" t="s">
        <v>20</v>
      </c>
      <c r="Q81" s="1014" t="s">
        <v>87</v>
      </c>
    </row>
    <row r="82" spans="1:17" s="430" customFormat="1" ht="85.5" customHeight="1">
      <c r="A82" s="1279" t="s">
        <v>156</v>
      </c>
      <c r="B82" s="1158" t="s">
        <v>959</v>
      </c>
      <c r="C82" s="1158" t="s">
        <v>960</v>
      </c>
      <c r="D82" s="1159" t="s">
        <v>961</v>
      </c>
      <c r="E82" s="1131" t="str">
        <f>'2.4.7.'!A6</f>
        <v>33.18.00 Plānveida stacionāro veselības aprūpes pakalpojumu nodrošināšana</v>
      </c>
      <c r="F82" s="1261">
        <v>0</v>
      </c>
      <c r="G82" s="1261">
        <v>0</v>
      </c>
      <c r="H82" s="1261">
        <v>0</v>
      </c>
      <c r="I82" s="1256"/>
      <c r="J82" s="1261">
        <f>SUM('2.4.7.'!C6)</f>
        <v>492356</v>
      </c>
      <c r="K82" s="1261">
        <f>SUM('2.4.7.'!D6)</f>
        <v>861623</v>
      </c>
      <c r="L82" s="1261">
        <v>0</v>
      </c>
      <c r="M82" s="1261">
        <v>1311225.3399999999</v>
      </c>
      <c r="N82" s="1083" t="s">
        <v>64</v>
      </c>
      <c r="O82" s="1083" t="s">
        <v>155</v>
      </c>
      <c r="P82" s="1083" t="s">
        <v>20</v>
      </c>
      <c r="Q82" s="1243" t="s">
        <v>157</v>
      </c>
    </row>
    <row r="83" spans="1:17" s="430" customFormat="1" ht="117" customHeight="1">
      <c r="A83" s="1049" t="s">
        <v>158</v>
      </c>
      <c r="B83" s="1027" t="s">
        <v>964</v>
      </c>
      <c r="C83" s="1276" t="s">
        <v>965</v>
      </c>
      <c r="D83" s="957" t="s">
        <v>966</v>
      </c>
      <c r="E83" s="1277" t="s">
        <v>141</v>
      </c>
      <c r="F83" s="1119">
        <v>0</v>
      </c>
      <c r="G83" s="1119">
        <v>0</v>
      </c>
      <c r="H83" s="1119">
        <v>0</v>
      </c>
      <c r="I83" s="445"/>
      <c r="J83" s="1119">
        <v>0</v>
      </c>
      <c r="K83" s="1119">
        <v>0</v>
      </c>
      <c r="L83" s="1119">
        <v>0</v>
      </c>
      <c r="M83" s="1119">
        <v>0</v>
      </c>
      <c r="N83" s="961" t="s">
        <v>64</v>
      </c>
      <c r="O83" s="961"/>
      <c r="P83" s="1278" t="s">
        <v>799</v>
      </c>
      <c r="Q83" s="966" t="s">
        <v>157</v>
      </c>
    </row>
    <row r="84" spans="1:17" s="430" customFormat="1" ht="99" customHeight="1">
      <c r="A84" s="976" t="s">
        <v>159</v>
      </c>
      <c r="B84" s="1013" t="s">
        <v>967</v>
      </c>
      <c r="C84" s="1053" t="s">
        <v>968</v>
      </c>
      <c r="D84" s="953" t="s">
        <v>969</v>
      </c>
      <c r="E84" s="824" t="s">
        <v>141</v>
      </c>
      <c r="F84" s="819">
        <v>0</v>
      </c>
      <c r="G84" s="445">
        <v>0</v>
      </c>
      <c r="H84" s="445">
        <v>0</v>
      </c>
      <c r="I84" s="445"/>
      <c r="J84" s="445">
        <v>0</v>
      </c>
      <c r="K84" s="445">
        <v>0</v>
      </c>
      <c r="L84" s="445">
        <v>0</v>
      </c>
      <c r="M84" s="445">
        <v>0</v>
      </c>
      <c r="N84" s="818" t="s">
        <v>970</v>
      </c>
      <c r="O84" s="818" t="s">
        <v>79</v>
      </c>
      <c r="P84" s="1146" t="s">
        <v>799</v>
      </c>
      <c r="Q84" s="1028" t="s">
        <v>119</v>
      </c>
    </row>
    <row r="85" spans="1:17" s="431" customFormat="1" ht="87" customHeight="1" thickBot="1">
      <c r="A85" s="978" t="s">
        <v>160</v>
      </c>
      <c r="B85" s="1047" t="s">
        <v>161</v>
      </c>
      <c r="C85" s="1014" t="s">
        <v>971</v>
      </c>
      <c r="D85" s="944" t="s">
        <v>972</v>
      </c>
      <c r="E85" s="824" t="s">
        <v>141</v>
      </c>
      <c r="F85" s="809">
        <v>0</v>
      </c>
      <c r="G85" s="809">
        <v>0</v>
      </c>
      <c r="H85" s="809">
        <v>0</v>
      </c>
      <c r="I85" s="809"/>
      <c r="J85" s="809">
        <v>0</v>
      </c>
      <c r="K85" s="809">
        <v>0</v>
      </c>
      <c r="L85" s="809">
        <v>0</v>
      </c>
      <c r="M85" s="809">
        <v>0</v>
      </c>
      <c r="N85" s="959" t="s">
        <v>973</v>
      </c>
      <c r="O85" s="959" t="s">
        <v>974</v>
      </c>
      <c r="P85" s="1240" t="s">
        <v>799</v>
      </c>
      <c r="Q85" s="1243" t="s">
        <v>157</v>
      </c>
    </row>
    <row r="86" spans="1:17" s="1194" customFormat="1" ht="102" customHeight="1" thickBot="1">
      <c r="A86" s="979" t="s">
        <v>162</v>
      </c>
      <c r="B86" s="1030" t="s">
        <v>975</v>
      </c>
      <c r="C86" s="1030" t="s">
        <v>976</v>
      </c>
      <c r="D86" s="952" t="s">
        <v>977</v>
      </c>
      <c r="E86" s="1154"/>
      <c r="F86" s="1155">
        <v>0</v>
      </c>
      <c r="G86" s="1155">
        <v>0</v>
      </c>
      <c r="H86" s="1155">
        <v>0</v>
      </c>
      <c r="I86" s="1155"/>
      <c r="J86" s="1155">
        <v>0</v>
      </c>
      <c r="K86" s="1155">
        <v>0</v>
      </c>
      <c r="L86" s="1155">
        <v>0</v>
      </c>
      <c r="M86" s="1155">
        <v>0</v>
      </c>
      <c r="N86" s="1148" t="s">
        <v>163</v>
      </c>
      <c r="O86" s="1193" t="s">
        <v>164</v>
      </c>
      <c r="P86" s="1240" t="s">
        <v>799</v>
      </c>
      <c r="Q86" s="1158" t="s">
        <v>119</v>
      </c>
    </row>
    <row r="87" spans="1:17" s="462" customFormat="1" ht="15.75">
      <c r="A87" s="1314" t="s">
        <v>1011</v>
      </c>
      <c r="B87" s="1235"/>
      <c r="C87" s="1235"/>
      <c r="D87" s="1236"/>
      <c r="E87" s="1237"/>
      <c r="F87" s="1707">
        <f>SUM(F88:F91)</f>
        <v>0</v>
      </c>
      <c r="G87" s="1707">
        <f t="shared" ref="G87:M87" si="23">SUM(G88:G91)</f>
        <v>0</v>
      </c>
      <c r="H87" s="1707">
        <f t="shared" si="23"/>
        <v>0</v>
      </c>
      <c r="I87" s="1707">
        <f t="shared" si="23"/>
        <v>0</v>
      </c>
      <c r="J87" s="1707">
        <f t="shared" si="23"/>
        <v>0</v>
      </c>
      <c r="K87" s="1707">
        <f t="shared" si="23"/>
        <v>0</v>
      </c>
      <c r="L87" s="1707">
        <f t="shared" si="23"/>
        <v>0</v>
      </c>
      <c r="M87" s="1707">
        <f t="shared" si="23"/>
        <v>0</v>
      </c>
      <c r="N87" s="1238"/>
      <c r="O87" s="1239"/>
      <c r="P87" s="1241"/>
      <c r="Q87" s="1244"/>
    </row>
    <row r="88" spans="1:17" s="462" customFormat="1" ht="66.75" customHeight="1">
      <c r="A88" s="980" t="s">
        <v>166</v>
      </c>
      <c r="B88" s="821" t="s">
        <v>167</v>
      </c>
      <c r="C88" s="951" t="s">
        <v>978</v>
      </c>
      <c r="D88" s="951" t="s">
        <v>979</v>
      </c>
      <c r="E88" s="820"/>
      <c r="F88" s="822">
        <v>0</v>
      </c>
      <c r="G88" s="822">
        <v>0</v>
      </c>
      <c r="H88" s="822">
        <v>0</v>
      </c>
      <c r="I88" s="822"/>
      <c r="J88" s="822">
        <v>0</v>
      </c>
      <c r="K88" s="822">
        <v>0</v>
      </c>
      <c r="L88" s="822">
        <v>0</v>
      </c>
      <c r="M88" s="822">
        <v>0</v>
      </c>
      <c r="N88" s="1015" t="s">
        <v>69</v>
      </c>
      <c r="O88" s="1015" t="s">
        <v>168</v>
      </c>
      <c r="P88" s="1240" t="s">
        <v>799</v>
      </c>
      <c r="Q88" s="1204" t="s">
        <v>93</v>
      </c>
    </row>
    <row r="89" spans="1:17" s="462" customFormat="1" ht="75" customHeight="1">
      <c r="A89" s="980" t="s">
        <v>169</v>
      </c>
      <c r="B89" s="821" t="s">
        <v>980</v>
      </c>
      <c r="C89" s="821" t="s">
        <v>981</v>
      </c>
      <c r="D89" s="951" t="s">
        <v>982</v>
      </c>
      <c r="E89" s="820"/>
      <c r="F89" s="822">
        <v>0</v>
      </c>
      <c r="G89" s="822">
        <v>0</v>
      </c>
      <c r="H89" s="822">
        <v>0</v>
      </c>
      <c r="I89" s="822"/>
      <c r="J89" s="822">
        <v>0</v>
      </c>
      <c r="K89" s="822">
        <v>0</v>
      </c>
      <c r="L89" s="822">
        <v>0</v>
      </c>
      <c r="M89" s="822">
        <v>0</v>
      </c>
      <c r="N89" s="1015" t="s">
        <v>983</v>
      </c>
      <c r="O89" s="1016" t="s">
        <v>69</v>
      </c>
      <c r="P89" s="1242" t="s">
        <v>799</v>
      </c>
      <c r="Q89" s="1245" t="s">
        <v>93</v>
      </c>
    </row>
    <row r="90" spans="1:17" s="462" customFormat="1" ht="70.5" customHeight="1">
      <c r="A90" s="1327" t="s">
        <v>170</v>
      </c>
      <c r="B90" s="1337" t="s">
        <v>984</v>
      </c>
      <c r="C90" s="821" t="s">
        <v>985</v>
      </c>
      <c r="D90" s="1337" t="s">
        <v>987</v>
      </c>
      <c r="E90" s="820"/>
      <c r="F90" s="822">
        <v>0</v>
      </c>
      <c r="G90" s="822">
        <v>0</v>
      </c>
      <c r="H90" s="822">
        <v>0</v>
      </c>
      <c r="I90" s="822"/>
      <c r="J90" s="822">
        <v>0</v>
      </c>
      <c r="K90" s="822">
        <v>0</v>
      </c>
      <c r="L90" s="822">
        <v>0</v>
      </c>
      <c r="M90" s="822">
        <v>0</v>
      </c>
      <c r="N90" s="1339" t="s">
        <v>124</v>
      </c>
      <c r="O90" s="1341" t="s">
        <v>125</v>
      </c>
      <c r="P90" s="1342" t="s">
        <v>799</v>
      </c>
      <c r="Q90" s="1326" t="s">
        <v>93</v>
      </c>
    </row>
    <row r="91" spans="1:17" s="462" customFormat="1" ht="70.5" customHeight="1">
      <c r="A91" s="1336"/>
      <c r="B91" s="1338"/>
      <c r="C91" s="823" t="s">
        <v>986</v>
      </c>
      <c r="D91" s="1338"/>
      <c r="E91" s="820"/>
      <c r="F91" s="822"/>
      <c r="G91" s="822"/>
      <c r="H91" s="822"/>
      <c r="I91" s="822"/>
      <c r="J91" s="822"/>
      <c r="K91" s="822"/>
      <c r="L91" s="822"/>
      <c r="M91" s="822"/>
      <c r="N91" s="1340"/>
      <c r="O91" s="1341"/>
      <c r="P91" s="1342"/>
      <c r="Q91" s="1326"/>
    </row>
    <row r="92" spans="1:17" s="462" customFormat="1" ht="15.75">
      <c r="A92" s="1246" t="s">
        <v>1012</v>
      </c>
      <c r="B92" s="1247"/>
      <c r="C92" s="1248"/>
      <c r="D92" s="1249"/>
      <c r="E92" s="1238"/>
      <c r="F92" s="1250">
        <f>SUM(F93:F95)</f>
        <v>0</v>
      </c>
      <c r="G92" s="1250">
        <f>SUM(G93:G95)</f>
        <v>0</v>
      </c>
      <c r="H92" s="1250">
        <f>SUM(H93:H95)</f>
        <v>0</v>
      </c>
      <c r="I92" s="1250">
        <f t="shared" ref="I92" si="24">SUM(I93:I95)</f>
        <v>0</v>
      </c>
      <c r="J92" s="1250">
        <f>SUM(J93:J95)</f>
        <v>0</v>
      </c>
      <c r="K92" s="1250">
        <f>SUM(K93:K95)</f>
        <v>0</v>
      </c>
      <c r="L92" s="1250">
        <f>SUM(L93:L95)</f>
        <v>0</v>
      </c>
      <c r="M92" s="1250">
        <f>SUM(M93:M95)</f>
        <v>0</v>
      </c>
      <c r="N92" s="1251"/>
      <c r="O92" s="1252"/>
      <c r="P92" s="1252"/>
      <c r="Q92" s="1253"/>
    </row>
    <row r="93" spans="1:17" s="462" customFormat="1" ht="73.5" customHeight="1">
      <c r="A93" s="1327" t="s">
        <v>171</v>
      </c>
      <c r="B93" s="1329" t="s">
        <v>172</v>
      </c>
      <c r="C93" s="1331" t="s">
        <v>173</v>
      </c>
      <c r="D93" s="1206" t="s">
        <v>988</v>
      </c>
      <c r="E93" s="1213" t="s">
        <v>797</v>
      </c>
      <c r="F93" s="1292">
        <v>0</v>
      </c>
      <c r="G93" s="1292">
        <v>0</v>
      </c>
      <c r="H93" s="822">
        <v>0</v>
      </c>
      <c r="I93" s="822"/>
      <c r="J93" s="822">
        <v>0</v>
      </c>
      <c r="K93" s="822">
        <v>0</v>
      </c>
      <c r="L93" s="822">
        <v>0</v>
      </c>
      <c r="M93" s="822">
        <v>0</v>
      </c>
      <c r="N93" s="1208" t="s">
        <v>990</v>
      </c>
      <c r="O93" s="1211" t="s">
        <v>168</v>
      </c>
      <c r="P93" s="1209" t="s">
        <v>799</v>
      </c>
      <c r="Q93" s="1254" t="s">
        <v>93</v>
      </c>
    </row>
    <row r="94" spans="1:17" s="462" customFormat="1" ht="68.25" customHeight="1">
      <c r="A94" s="1328"/>
      <c r="B94" s="1330"/>
      <c r="C94" s="1330"/>
      <c r="D94" s="1308" t="s">
        <v>989</v>
      </c>
      <c r="E94" s="1160" t="s">
        <v>106</v>
      </c>
      <c r="F94" s="1309">
        <v>0</v>
      </c>
      <c r="G94" s="1309">
        <v>0</v>
      </c>
      <c r="H94" s="1291">
        <v>0</v>
      </c>
      <c r="I94" s="822"/>
      <c r="J94" s="822">
        <v>0</v>
      </c>
      <c r="K94" s="822">
        <v>0</v>
      </c>
      <c r="L94" s="822">
        <v>0</v>
      </c>
      <c r="M94" s="822">
        <v>0</v>
      </c>
      <c r="N94" s="1208" t="s">
        <v>990</v>
      </c>
      <c r="O94" s="1211" t="s">
        <v>168</v>
      </c>
      <c r="P94" s="1156" t="s">
        <v>798</v>
      </c>
      <c r="Q94" s="1143" t="s">
        <v>93</v>
      </c>
    </row>
    <row r="95" spans="1:17" s="462" customFormat="1" ht="120.75" customHeight="1">
      <c r="A95" s="1301" t="s">
        <v>174</v>
      </c>
      <c r="B95" s="1277" t="s">
        <v>175</v>
      </c>
      <c r="C95" s="1207" t="s">
        <v>176</v>
      </c>
      <c r="D95" s="1302" t="s">
        <v>793</v>
      </c>
      <c r="E95" s="1303" t="s">
        <v>797</v>
      </c>
      <c r="F95" s="1304">
        <v>0</v>
      </c>
      <c r="G95" s="1304">
        <v>0</v>
      </c>
      <c r="H95" s="822">
        <v>0</v>
      </c>
      <c r="I95" s="822"/>
      <c r="J95" s="822">
        <v>0</v>
      </c>
      <c r="K95" s="822">
        <v>0</v>
      </c>
      <c r="L95" s="822">
        <v>0</v>
      </c>
      <c r="M95" s="822">
        <v>0</v>
      </c>
      <c r="N95" s="1203" t="s">
        <v>993</v>
      </c>
      <c r="O95" s="1212" t="s">
        <v>994</v>
      </c>
      <c r="P95" s="1214" t="s">
        <v>799</v>
      </c>
      <c r="Q95" s="1245" t="s">
        <v>165</v>
      </c>
    </row>
    <row r="96" spans="1:17" ht="32.25" customHeight="1">
      <c r="A96" s="1410" t="s">
        <v>177</v>
      </c>
      <c r="B96" s="1410"/>
      <c r="C96" s="1411" t="s">
        <v>178</v>
      </c>
      <c r="D96" s="1410"/>
      <c r="E96" s="1195"/>
      <c r="F96" s="1196">
        <f>SUM(F97)</f>
        <v>0</v>
      </c>
      <c r="G96" s="1196">
        <f t="shared" ref="G96:M96" si="25">SUM(G97)</f>
        <v>0</v>
      </c>
      <c r="H96" s="1196">
        <f t="shared" si="25"/>
        <v>84458</v>
      </c>
      <c r="I96" s="1196">
        <f t="shared" si="25"/>
        <v>0</v>
      </c>
      <c r="J96" s="1196">
        <f t="shared" si="25"/>
        <v>0</v>
      </c>
      <c r="K96" s="1196">
        <f t="shared" si="25"/>
        <v>0</v>
      </c>
      <c r="L96" s="1196">
        <f t="shared" si="25"/>
        <v>0</v>
      </c>
      <c r="M96" s="1196">
        <f t="shared" si="25"/>
        <v>0</v>
      </c>
      <c r="N96" s="1197"/>
      <c r="O96" s="1210"/>
      <c r="P96" s="1198"/>
      <c r="Q96" s="1255"/>
    </row>
    <row r="97" spans="1:17" ht="15.75">
      <c r="A97" s="1400" t="s">
        <v>179</v>
      </c>
      <c r="B97" s="1400"/>
      <c r="C97" s="1400"/>
      <c r="D97" s="1400"/>
      <c r="E97" s="1293"/>
      <c r="F97" s="1294">
        <f>SUM(F98:F103)</f>
        <v>0</v>
      </c>
      <c r="G97" s="1294">
        <f>SUM(G98:G103)</f>
        <v>0</v>
      </c>
      <c r="H97" s="1199">
        <f t="shared" ref="H97:M97" si="26">SUM(H98:H103)</f>
        <v>84458</v>
      </c>
      <c r="I97" s="1199">
        <f t="shared" si="26"/>
        <v>0</v>
      </c>
      <c r="J97" s="1199">
        <f t="shared" si="26"/>
        <v>0</v>
      </c>
      <c r="K97" s="1199">
        <f t="shared" si="26"/>
        <v>0</v>
      </c>
      <c r="L97" s="1199">
        <f t="shared" si="26"/>
        <v>0</v>
      </c>
      <c r="M97" s="1199">
        <f t="shared" si="26"/>
        <v>0</v>
      </c>
      <c r="N97" s="1200"/>
      <c r="O97" s="1201"/>
      <c r="P97" s="1201"/>
      <c r="Q97" s="1200"/>
    </row>
    <row r="98" spans="1:17" ht="84" customHeight="1">
      <c r="A98" s="1402" t="s">
        <v>180</v>
      </c>
      <c r="B98" s="1401" t="s">
        <v>181</v>
      </c>
      <c r="C98" s="1243" t="s">
        <v>995</v>
      </c>
      <c r="D98" s="1286" t="s">
        <v>996</v>
      </c>
      <c r="E98" s="1131" t="s">
        <v>106</v>
      </c>
      <c r="F98" s="1261">
        <v>0</v>
      </c>
      <c r="G98" s="1261">
        <v>0</v>
      </c>
      <c r="H98" s="825">
        <f>'3.1.1.1.'!C6</f>
        <v>18150</v>
      </c>
      <c r="I98" s="808"/>
      <c r="J98" s="808">
        <v>0</v>
      </c>
      <c r="K98" s="808">
        <v>0</v>
      </c>
      <c r="L98" s="808">
        <v>0</v>
      </c>
      <c r="M98" s="808">
        <v>0</v>
      </c>
      <c r="N98" s="958" t="s">
        <v>182</v>
      </c>
      <c r="O98" s="963" t="s">
        <v>183</v>
      </c>
      <c r="P98" s="963" t="s">
        <v>999</v>
      </c>
      <c r="Q98" s="1029" t="s">
        <v>93</v>
      </c>
    </row>
    <row r="99" spans="1:17" s="840" customFormat="1" ht="120" customHeight="1">
      <c r="A99" s="1402"/>
      <c r="B99" s="1401"/>
      <c r="C99" s="1158" t="s">
        <v>184</v>
      </c>
      <c r="D99" s="1159" t="s">
        <v>997</v>
      </c>
      <c r="E99" s="1131" t="s">
        <v>106</v>
      </c>
      <c r="F99" s="1261">
        <v>0</v>
      </c>
      <c r="G99" s="1261">
        <v>0</v>
      </c>
      <c r="H99" s="825">
        <v>0</v>
      </c>
      <c r="I99" s="808"/>
      <c r="J99" s="808">
        <v>0</v>
      </c>
      <c r="K99" s="808">
        <v>0</v>
      </c>
      <c r="L99" s="808">
        <v>0</v>
      </c>
      <c r="M99" s="808">
        <v>0</v>
      </c>
      <c r="N99" s="965" t="s">
        <v>69</v>
      </c>
      <c r="O99" s="1152" t="s">
        <v>185</v>
      </c>
      <c r="P99" s="963" t="s">
        <v>999</v>
      </c>
      <c r="Q99" s="1215" t="s">
        <v>90</v>
      </c>
    </row>
    <row r="100" spans="1:17" s="840" customFormat="1" ht="103.5" customHeight="1">
      <c r="A100" s="973" t="s">
        <v>186</v>
      </c>
      <c r="B100" s="1171" t="s">
        <v>187</v>
      </c>
      <c r="C100" s="1171" t="s">
        <v>1002</v>
      </c>
      <c r="D100" s="985" t="s">
        <v>1003</v>
      </c>
      <c r="E100" s="1202" t="s">
        <v>106</v>
      </c>
      <c r="F100" s="811">
        <v>0</v>
      </c>
      <c r="G100" s="811">
        <v>0</v>
      </c>
      <c r="H100" s="808">
        <f>'3.1.2.'!C6</f>
        <v>14520</v>
      </c>
      <c r="I100" s="808"/>
      <c r="J100" s="808">
        <v>0</v>
      </c>
      <c r="K100" s="808">
        <v>0</v>
      </c>
      <c r="L100" s="808">
        <v>0</v>
      </c>
      <c r="M100" s="808">
        <v>0</v>
      </c>
      <c r="N100" s="964" t="s">
        <v>182</v>
      </c>
      <c r="O100" s="1152" t="s">
        <v>188</v>
      </c>
      <c r="P100" s="963" t="s">
        <v>999</v>
      </c>
      <c r="Q100" s="1215" t="s">
        <v>90</v>
      </c>
    </row>
    <row r="101" spans="1:17" s="840" customFormat="1" ht="117.75" customHeight="1">
      <c r="A101" s="977" t="s">
        <v>189</v>
      </c>
      <c r="B101" s="1030" t="s">
        <v>190</v>
      </c>
      <c r="C101" s="1030" t="s">
        <v>191</v>
      </c>
      <c r="D101" s="952" t="s">
        <v>1005</v>
      </c>
      <c r="E101" s="820" t="s">
        <v>106</v>
      </c>
      <c r="F101" s="808">
        <v>0</v>
      </c>
      <c r="G101" s="808">
        <v>0</v>
      </c>
      <c r="H101" s="808">
        <f>'3.1.3.'!C6</f>
        <v>9438</v>
      </c>
      <c r="I101" s="808"/>
      <c r="J101" s="808">
        <v>0</v>
      </c>
      <c r="K101" s="808">
        <v>0</v>
      </c>
      <c r="L101" s="808">
        <v>0</v>
      </c>
      <c r="M101" s="808">
        <v>0</v>
      </c>
      <c r="N101" s="964" t="s">
        <v>192</v>
      </c>
      <c r="O101" s="1152" t="s">
        <v>188</v>
      </c>
      <c r="P101" s="963" t="s">
        <v>999</v>
      </c>
      <c r="Q101" s="1215" t="s">
        <v>93</v>
      </c>
    </row>
    <row r="102" spans="1:17" s="840" customFormat="1" ht="86.25" customHeight="1">
      <c r="A102" s="977" t="s">
        <v>193</v>
      </c>
      <c r="B102" s="1030" t="s">
        <v>194</v>
      </c>
      <c r="C102" s="1030" t="s">
        <v>195</v>
      </c>
      <c r="D102" s="952" t="s">
        <v>1006</v>
      </c>
      <c r="E102" s="820" t="s">
        <v>106</v>
      </c>
      <c r="F102" s="808">
        <v>0</v>
      </c>
      <c r="G102" s="808">
        <v>0</v>
      </c>
      <c r="H102" s="808">
        <f>'3.1.4'!C6</f>
        <v>24200</v>
      </c>
      <c r="I102" s="808"/>
      <c r="J102" s="808">
        <v>0</v>
      </c>
      <c r="K102" s="808">
        <v>0</v>
      </c>
      <c r="L102" s="808">
        <v>0</v>
      </c>
      <c r="M102" s="808">
        <v>0</v>
      </c>
      <c r="N102" s="964" t="s">
        <v>69</v>
      </c>
      <c r="O102" s="967" t="s">
        <v>1008</v>
      </c>
      <c r="P102" s="959" t="s">
        <v>999</v>
      </c>
      <c r="Q102" s="1215" t="s">
        <v>93</v>
      </c>
    </row>
    <row r="103" spans="1:17" ht="102.75" customHeight="1">
      <c r="A103" s="970" t="s">
        <v>196</v>
      </c>
      <c r="B103" s="1013" t="s">
        <v>197</v>
      </c>
      <c r="C103" s="1013" t="s">
        <v>198</v>
      </c>
      <c r="D103" s="955" t="s">
        <v>1009</v>
      </c>
      <c r="E103" s="820" t="s">
        <v>106</v>
      </c>
      <c r="F103" s="808">
        <v>0</v>
      </c>
      <c r="G103" s="808">
        <v>0</v>
      </c>
      <c r="H103" s="808">
        <f>'3.1.5'!C5</f>
        <v>18150</v>
      </c>
      <c r="I103" s="808"/>
      <c r="J103" s="808">
        <v>0</v>
      </c>
      <c r="K103" s="808">
        <v>0</v>
      </c>
      <c r="L103" s="808">
        <v>0</v>
      </c>
      <c r="M103" s="808">
        <v>0</v>
      </c>
      <c r="N103" s="958" t="s">
        <v>34</v>
      </c>
      <c r="O103" s="1218" t="s">
        <v>199</v>
      </c>
      <c r="P103" s="1084" t="s">
        <v>798</v>
      </c>
      <c r="Q103" s="1219" t="s">
        <v>93</v>
      </c>
    </row>
    <row r="110" spans="1:17">
      <c r="J110" s="1706"/>
      <c r="K110" s="1706"/>
      <c r="L110" s="1706"/>
      <c r="M110" s="1706"/>
    </row>
    <row r="111" spans="1:17">
      <c r="J111" s="1706"/>
    </row>
  </sheetData>
  <autoFilter ref="A5:Q103" xr:uid="{D2F79CE3-28F9-4E5A-8B17-E4F809AFE0FC}"/>
  <mergeCells count="134">
    <mergeCell ref="C4:C5"/>
    <mergeCell ref="D4:D5"/>
    <mergeCell ref="A6:D6"/>
    <mergeCell ref="Q79:Q80"/>
    <mergeCell ref="B9:D9"/>
    <mergeCell ref="B10:D10"/>
    <mergeCell ref="B12:D12"/>
    <mergeCell ref="B11:D11"/>
    <mergeCell ref="B13:D13"/>
    <mergeCell ref="A60:D60"/>
    <mergeCell ref="A61:A63"/>
    <mergeCell ref="B61:B63"/>
    <mergeCell ref="A30:D30"/>
    <mergeCell ref="A33:A34"/>
    <mergeCell ref="B33:B34"/>
    <mergeCell ref="A36:A37"/>
    <mergeCell ref="B36:B37"/>
    <mergeCell ref="A38:A41"/>
    <mergeCell ref="B38:B41"/>
    <mergeCell ref="O76:O77"/>
    <mergeCell ref="P76:P77"/>
    <mergeCell ref="Q76:Q77"/>
    <mergeCell ref="C68:C69"/>
    <mergeCell ref="D68:D69"/>
    <mergeCell ref="B7:D7"/>
    <mergeCell ref="B8:D8"/>
    <mergeCell ref="E4:E5"/>
    <mergeCell ref="N4:N5"/>
    <mergeCell ref="O4:O5"/>
    <mergeCell ref="P4:P5"/>
    <mergeCell ref="Q4:Q5"/>
    <mergeCell ref="C21:D21"/>
    <mergeCell ref="A70:D70"/>
    <mergeCell ref="B14:D14"/>
    <mergeCell ref="B15:D15"/>
    <mergeCell ref="B17:D17"/>
    <mergeCell ref="B16:D16"/>
    <mergeCell ref="A21:B21"/>
    <mergeCell ref="C26:C27"/>
    <mergeCell ref="A46:D46"/>
    <mergeCell ref="B49:B52"/>
    <mergeCell ref="A49:A52"/>
    <mergeCell ref="A53:A55"/>
    <mergeCell ref="B53:B55"/>
    <mergeCell ref="F4:H4"/>
    <mergeCell ref="I4:M4"/>
    <mergeCell ref="A4:A5"/>
    <mergeCell ref="B4:B5"/>
    <mergeCell ref="A97:D97"/>
    <mergeCell ref="B98:B99"/>
    <mergeCell ref="A98:A99"/>
    <mergeCell ref="C38:C39"/>
    <mergeCell ref="D38:D39"/>
    <mergeCell ref="C50:C51"/>
    <mergeCell ref="D50:D51"/>
    <mergeCell ref="D53:D54"/>
    <mergeCell ref="C53:C54"/>
    <mergeCell ref="A75:A77"/>
    <mergeCell ref="A96:B96"/>
    <mergeCell ref="C96:D96"/>
    <mergeCell ref="A72:A74"/>
    <mergeCell ref="B72:B74"/>
    <mergeCell ref="B75:B77"/>
    <mergeCell ref="C76:C77"/>
    <mergeCell ref="A79:A80"/>
    <mergeCell ref="B79:B80"/>
    <mergeCell ref="N68:N69"/>
    <mergeCell ref="O26:O27"/>
    <mergeCell ref="P26:P27"/>
    <mergeCell ref="Q26:Q27"/>
    <mergeCell ref="N38:N39"/>
    <mergeCell ref="O38:O39"/>
    <mergeCell ref="P38:P39"/>
    <mergeCell ref="Q38:Q39"/>
    <mergeCell ref="N53:N54"/>
    <mergeCell ref="O53:O54"/>
    <mergeCell ref="P53:P54"/>
    <mergeCell ref="Q53:Q54"/>
    <mergeCell ref="N50:N51"/>
    <mergeCell ref="O50:O51"/>
    <mergeCell ref="P50:P51"/>
    <mergeCell ref="Q50:Q51"/>
    <mergeCell ref="P43:P44"/>
    <mergeCell ref="Q43:Q44"/>
    <mergeCell ref="N43:N44"/>
    <mergeCell ref="O43:O44"/>
    <mergeCell ref="P68:P69"/>
    <mergeCell ref="B18:D18"/>
    <mergeCell ref="A26:A28"/>
    <mergeCell ref="B26:B28"/>
    <mergeCell ref="D26:D27"/>
    <mergeCell ref="N26:N27"/>
    <mergeCell ref="N76:N77"/>
    <mergeCell ref="D76:D77"/>
    <mergeCell ref="A22:D22"/>
    <mergeCell ref="A29:B29"/>
    <mergeCell ref="C29:D29"/>
    <mergeCell ref="F61:F63"/>
    <mergeCell ref="G61:G63"/>
    <mergeCell ref="H61:H63"/>
    <mergeCell ref="A66:A67"/>
    <mergeCell ref="B66:B67"/>
    <mergeCell ref="C66:C67"/>
    <mergeCell ref="D66:D67"/>
    <mergeCell ref="A68:A69"/>
    <mergeCell ref="B68:B69"/>
    <mergeCell ref="F67:F68"/>
    <mergeCell ref="G67:G68"/>
    <mergeCell ref="H67:H68"/>
    <mergeCell ref="N66:N67"/>
    <mergeCell ref="Q68:Q69"/>
    <mergeCell ref="A31:A32"/>
    <mergeCell ref="B31:B32"/>
    <mergeCell ref="A43:A44"/>
    <mergeCell ref="B43:B44"/>
    <mergeCell ref="C43:C44"/>
    <mergeCell ref="D43:D44"/>
    <mergeCell ref="Q90:Q91"/>
    <mergeCell ref="A93:A94"/>
    <mergeCell ref="B93:B94"/>
    <mergeCell ref="C93:C94"/>
    <mergeCell ref="A58:A59"/>
    <mergeCell ref="B58:B59"/>
    <mergeCell ref="D58:D59"/>
    <mergeCell ref="A90:A91"/>
    <mergeCell ref="B90:B91"/>
    <mergeCell ref="D90:D91"/>
    <mergeCell ref="N90:N91"/>
    <mergeCell ref="O90:O91"/>
    <mergeCell ref="P90:P91"/>
    <mergeCell ref="O66:O67"/>
    <mergeCell ref="P66:P67"/>
    <mergeCell ref="Q66:Q67"/>
    <mergeCell ref="O68:O69"/>
  </mergeCells>
  <hyperlinks>
    <hyperlink ref="D47" location="_msocom_1" display="5 000[KK1]  pacientu saņēmuši hroniskas slimības intensificētu dinamisko novērošanu" xr:uid="{52960A5C-7894-4AB4-966A-8C87BFA99779}"/>
    <hyperlink ref="O34" location="_msocom_1" display="LEA, LLĢĀA, LĢĀA, [KK1] " xr:uid="{2C854E66-ABDC-46EA-82E7-56E15FD23222}"/>
  </hyperlinks>
  <pageMargins left="0.7" right="0.7" top="0.75" bottom="0.75" header="0.3" footer="0.3"/>
  <pageSetup paperSize="9" scale="18"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E165A-87DB-4082-95DB-B92A8059DDBA}">
  <sheetPr>
    <tabColor theme="8" tint="0.79998168889431442"/>
  </sheetPr>
  <dimension ref="A1:M14"/>
  <sheetViews>
    <sheetView view="pageBreakPreview" zoomScale="60" zoomScaleNormal="100" workbookViewId="0">
      <selection activeCell="A14" sqref="A14:K14"/>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J1" s="986" t="s">
        <v>811</v>
      </c>
    </row>
    <row r="2" spans="1:13" ht="35.25" customHeight="1">
      <c r="A2" s="1461" t="s">
        <v>764</v>
      </c>
      <c r="B2" s="1461"/>
      <c r="C2" s="1461"/>
      <c r="D2" s="987"/>
    </row>
    <row r="3" spans="1:13">
      <c r="A3" s="1462" t="s">
        <v>1</v>
      </c>
      <c r="B3" s="1464" t="s">
        <v>794</v>
      </c>
      <c r="C3" s="1465"/>
      <c r="D3" s="987"/>
    </row>
    <row r="4" spans="1:13">
      <c r="A4" s="1463"/>
      <c r="B4" s="988" t="s">
        <v>765</v>
      </c>
      <c r="C4" s="989" t="s">
        <v>766</v>
      </c>
      <c r="D4" s="990"/>
    </row>
    <row r="5" spans="1:13" ht="65.25" customHeight="1">
      <c r="A5" s="991" t="s">
        <v>40</v>
      </c>
      <c r="B5" s="992">
        <f>15000*1.21</f>
        <v>18150</v>
      </c>
      <c r="C5" s="503">
        <f>15000*1.21</f>
        <v>18150</v>
      </c>
      <c r="D5" s="990"/>
    </row>
    <row r="6" spans="1:13" ht="59.25" customHeight="1">
      <c r="A6" s="1460" t="s">
        <v>767</v>
      </c>
      <c r="B6" s="1460"/>
      <c r="C6" s="1460"/>
      <c r="D6" s="990"/>
    </row>
    <row r="7" spans="1:13">
      <c r="A7" s="1466"/>
      <c r="B7" s="1466"/>
      <c r="C7" s="1466"/>
    </row>
    <row r="9" spans="1:13">
      <c r="J9" s="1467"/>
      <c r="K9" s="1467"/>
    </row>
    <row r="10" spans="1:13">
      <c r="A10" s="1459" t="s">
        <v>764</v>
      </c>
      <c r="B10" s="1459"/>
      <c r="C10" s="1459"/>
      <c r="D10" s="1459"/>
      <c r="E10" s="1459"/>
      <c r="F10" s="1459"/>
      <c r="G10" s="1459"/>
      <c r="H10" s="1459"/>
      <c r="I10" s="1459"/>
      <c r="J10" s="1459"/>
      <c r="K10" s="1459"/>
    </row>
    <row r="11" spans="1:13" ht="63.75">
      <c r="A11" s="993"/>
      <c r="B11" s="994" t="s">
        <v>1</v>
      </c>
      <c r="C11" s="994" t="s">
        <v>2</v>
      </c>
      <c r="D11" s="988" t="s">
        <v>3</v>
      </c>
      <c r="E11" s="988" t="s">
        <v>768</v>
      </c>
      <c r="F11" s="988" t="s">
        <v>769</v>
      </c>
      <c r="G11" s="988" t="s">
        <v>770</v>
      </c>
      <c r="H11" s="988" t="s">
        <v>771</v>
      </c>
      <c r="I11" s="988" t="s">
        <v>772</v>
      </c>
      <c r="J11" s="988" t="s">
        <v>773</v>
      </c>
      <c r="K11" s="988" t="s">
        <v>774</v>
      </c>
    </row>
    <row r="12" spans="1:13" ht="105" customHeight="1">
      <c r="A12" s="995" t="s">
        <v>775</v>
      </c>
      <c r="B12" s="991" t="s">
        <v>40</v>
      </c>
      <c r="C12" s="996"/>
      <c r="D12" s="996"/>
      <c r="E12" s="994" t="s">
        <v>1</v>
      </c>
      <c r="F12" s="992">
        <v>2</v>
      </c>
      <c r="G12" s="992">
        <v>15000</v>
      </c>
      <c r="H12" s="992">
        <f>F12*G12</f>
        <v>30000</v>
      </c>
      <c r="I12" s="992">
        <v>21</v>
      </c>
      <c r="J12" s="992">
        <f>G12*1.21</f>
        <v>18150</v>
      </c>
      <c r="K12" s="992">
        <f>F12*J12</f>
        <v>36300</v>
      </c>
      <c r="M12" s="997"/>
    </row>
    <row r="13" spans="1:13">
      <c r="A13" s="502"/>
      <c r="B13" s="502"/>
      <c r="C13" s="502"/>
      <c r="D13" s="502"/>
      <c r="E13" s="502"/>
      <c r="F13" s="502"/>
      <c r="G13" s="502"/>
      <c r="H13" s="503">
        <f>SUM(H12:H12)</f>
        <v>30000</v>
      </c>
      <c r="I13" s="502"/>
      <c r="J13" s="998"/>
      <c r="K13" s="992">
        <f>SUM(K12:K12)</f>
        <v>36300</v>
      </c>
    </row>
    <row r="14" spans="1:13" ht="36.75" customHeight="1">
      <c r="A14" s="1460" t="s">
        <v>767</v>
      </c>
      <c r="B14" s="1460"/>
      <c r="C14" s="1460"/>
      <c r="D14" s="1460"/>
      <c r="E14" s="1460"/>
      <c r="F14" s="1460"/>
      <c r="G14" s="1460"/>
      <c r="H14" s="1460"/>
      <c r="I14" s="1460"/>
      <c r="J14" s="1460"/>
      <c r="K14" s="1460"/>
    </row>
  </sheetData>
  <mergeCells count="8">
    <mergeCell ref="A10:K10"/>
    <mergeCell ref="A14:K14"/>
    <mergeCell ref="A2:C2"/>
    <mergeCell ref="A3:A4"/>
    <mergeCell ref="B3:C3"/>
    <mergeCell ref="A6:C6"/>
    <mergeCell ref="A7:C7"/>
    <mergeCell ref="J9:K9"/>
  </mergeCells>
  <pageMargins left="0.7" right="0.7" top="0.75" bottom="0.75" header="0.3" footer="0.3"/>
  <pageSetup paperSize="9" scale="44"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73BA0-4D2C-481B-B2EB-7367015D7A6C}">
  <sheetPr>
    <tabColor theme="8" tint="0.79998168889431442"/>
  </sheetPr>
  <dimension ref="A1:F67"/>
  <sheetViews>
    <sheetView view="pageBreakPreview" zoomScale="60" zoomScaleNormal="100" workbookViewId="0">
      <selection activeCell="E6" sqref="E6:E7"/>
    </sheetView>
  </sheetViews>
  <sheetFormatPr defaultColWidth="8.85546875" defaultRowHeight="12.75"/>
  <cols>
    <col min="1" max="1" width="13.28515625" style="168" customWidth="1"/>
    <col min="2" max="2" width="30.42578125" style="168" customWidth="1"/>
    <col min="3" max="3" width="12.85546875" style="168" customWidth="1"/>
    <col min="4" max="5" width="13.28515625" style="168" customWidth="1"/>
    <col min="6" max="6" width="13.7109375" style="168" customWidth="1"/>
    <col min="7" max="16384" width="8.85546875" style="168"/>
  </cols>
  <sheetData>
    <row r="1" spans="1:6">
      <c r="F1" s="986" t="s">
        <v>810</v>
      </c>
    </row>
    <row r="3" spans="1:6" ht="15.75">
      <c r="A3" s="1487" t="s">
        <v>803</v>
      </c>
      <c r="B3" s="1487"/>
      <c r="C3" s="1487"/>
      <c r="D3" s="1487"/>
      <c r="E3" s="1487"/>
      <c r="F3" s="1487"/>
    </row>
    <row r="5" spans="1:6" ht="89.25">
      <c r="A5" s="1488" t="s">
        <v>200</v>
      </c>
      <c r="B5" s="1488"/>
      <c r="C5" s="500" t="s">
        <v>201</v>
      </c>
      <c r="D5" s="500" t="s">
        <v>202</v>
      </c>
      <c r="E5" s="500" t="s">
        <v>203</v>
      </c>
      <c r="F5" s="500" t="s">
        <v>204</v>
      </c>
    </row>
    <row r="6" spans="1:6">
      <c r="A6" s="1489" t="s">
        <v>50</v>
      </c>
      <c r="B6" s="1489"/>
      <c r="C6" s="501">
        <f>SUM(F26)</f>
        <v>1625170</v>
      </c>
      <c r="D6" s="501">
        <f>SUM(F44)</f>
        <v>1826238</v>
      </c>
      <c r="E6" s="501">
        <f>SUM(F64)</f>
        <v>2038011.8599999994</v>
      </c>
      <c r="F6" s="501">
        <f>SUM(E6)</f>
        <v>2038011.8599999994</v>
      </c>
    </row>
    <row r="7" spans="1:6" ht="30.75" customHeight="1">
      <c r="A7" s="1490" t="s">
        <v>53</v>
      </c>
      <c r="B7" s="1490"/>
      <c r="C7" s="501">
        <f>SUM(F27)</f>
        <v>167371</v>
      </c>
      <c r="D7" s="501">
        <f>SUM(F45)</f>
        <v>167371</v>
      </c>
      <c r="E7" s="501">
        <f>SUM(F65)</f>
        <v>167371.19999999995</v>
      </c>
      <c r="F7" s="501">
        <f>SUM(E7)</f>
        <v>167371.19999999995</v>
      </c>
    </row>
    <row r="10" spans="1:6" s="170" customFormat="1">
      <c r="A10" s="1477" t="s">
        <v>12</v>
      </c>
      <c r="B10" s="1477"/>
      <c r="C10" s="1477"/>
      <c r="D10" s="1477"/>
      <c r="E10" s="1477"/>
      <c r="F10" s="1477"/>
    </row>
    <row r="11" spans="1:6" ht="25.5">
      <c r="A11" s="190" t="s">
        <v>205</v>
      </c>
      <c r="B11" s="190" t="s">
        <v>206</v>
      </c>
      <c r="C11" s="191" t="s">
        <v>207</v>
      </c>
      <c r="D11" s="191" t="s">
        <v>208</v>
      </c>
      <c r="E11" s="191" t="s">
        <v>209</v>
      </c>
      <c r="F11" s="191" t="s">
        <v>210</v>
      </c>
    </row>
    <row r="12" spans="1:6">
      <c r="A12" s="1478" t="s">
        <v>211</v>
      </c>
      <c r="B12" s="502" t="s">
        <v>212</v>
      </c>
      <c r="C12" s="503">
        <v>6816</v>
      </c>
      <c r="D12" s="504">
        <v>30.26</v>
      </c>
      <c r="E12" s="502">
        <v>5.31</v>
      </c>
      <c r="F12" s="504">
        <f>SUM(C12*D12)+E12*C12</f>
        <v>242445.12</v>
      </c>
    </row>
    <row r="13" spans="1:6">
      <c r="A13" s="1479"/>
      <c r="B13" s="502" t="s">
        <v>213</v>
      </c>
      <c r="C13" s="503">
        <v>78366</v>
      </c>
      <c r="D13" s="504">
        <v>42.69</v>
      </c>
      <c r="E13" s="502">
        <v>5.31</v>
      </c>
      <c r="F13" s="504">
        <f>SUM(C13*D13)+E13*C13</f>
        <v>3761568</v>
      </c>
    </row>
    <row r="14" spans="1:6">
      <c r="A14" s="1479"/>
      <c r="B14" s="505" t="s">
        <v>214</v>
      </c>
      <c r="C14" s="506">
        <v>76958</v>
      </c>
      <c r="D14" s="507">
        <v>6.19</v>
      </c>
      <c r="E14" s="502">
        <v>5.31</v>
      </c>
      <c r="F14" s="504">
        <f>SUM(C14*D14)+E14*C14</f>
        <v>885017</v>
      </c>
    </row>
    <row r="15" spans="1:6" s="170" customFormat="1">
      <c r="A15" s="508"/>
      <c r="B15" s="508"/>
      <c r="C15" s="1468" t="s">
        <v>215</v>
      </c>
      <c r="D15" s="1469"/>
      <c r="E15" s="1470"/>
      <c r="F15" s="509">
        <f>SUM(F12:F14)</f>
        <v>4889030.12</v>
      </c>
    </row>
    <row r="16" spans="1:6" s="498" customFormat="1">
      <c r="C16" s="1491" t="s">
        <v>216</v>
      </c>
      <c r="D16" s="1475"/>
      <c r="E16" s="1476"/>
      <c r="F16" s="510"/>
    </row>
    <row r="17" spans="1:6" s="498" customFormat="1">
      <c r="B17" s="511"/>
      <c r="C17" s="1492" t="s">
        <v>217</v>
      </c>
      <c r="D17" s="1485"/>
      <c r="E17" s="1486"/>
      <c r="F17" s="510">
        <f>SUM(C12*D12)+(C13*D13)+(C14*D14)</f>
        <v>4028066.72</v>
      </c>
    </row>
    <row r="18" spans="1:6" s="498" customFormat="1">
      <c r="B18" s="511"/>
      <c r="C18" s="1485" t="s">
        <v>218</v>
      </c>
      <c r="D18" s="1485"/>
      <c r="E18" s="1486"/>
      <c r="F18" s="510">
        <f>SUM(C12+C13+C14)*E12</f>
        <v>860963.39999999991</v>
      </c>
    </row>
    <row r="19" spans="1:6" s="170" customFormat="1">
      <c r="C19" s="512"/>
      <c r="D19" s="512"/>
      <c r="E19" s="512"/>
      <c r="F19" s="513"/>
    </row>
    <row r="20" spans="1:6" s="170" customFormat="1">
      <c r="C20" s="1493" t="s">
        <v>796</v>
      </c>
      <c r="D20" s="1493"/>
      <c r="E20" s="1493"/>
      <c r="F20" s="1493"/>
    </row>
    <row r="21" spans="1:6" s="170" customFormat="1">
      <c r="A21" s="498"/>
      <c r="B21" s="498"/>
      <c r="C21" s="1481" t="s">
        <v>217</v>
      </c>
      <c r="D21" s="1471"/>
      <c r="E21" s="1482"/>
      <c r="F21" s="509">
        <v>2402897</v>
      </c>
    </row>
    <row r="22" spans="1:6" s="170" customFormat="1">
      <c r="A22" s="498"/>
      <c r="B22" s="498"/>
      <c r="C22" s="1481" t="s">
        <v>218</v>
      </c>
      <c r="D22" s="1471"/>
      <c r="E22" s="1482"/>
      <c r="F22" s="514">
        <f>130620*E12</f>
        <v>693592.2</v>
      </c>
    </row>
    <row r="23" spans="1:6" s="170" customFormat="1">
      <c r="A23" s="515"/>
      <c r="B23" s="515"/>
      <c r="C23" s="516"/>
      <c r="D23" s="516"/>
      <c r="E23" s="516"/>
      <c r="F23" s="517"/>
    </row>
    <row r="24" spans="1:6" s="170" customFormat="1">
      <c r="B24" s="518"/>
      <c r="C24" s="1481" t="s">
        <v>219</v>
      </c>
      <c r="D24" s="1471"/>
      <c r="E24" s="1482"/>
      <c r="F24" s="519">
        <f>ROUND(SUM(F15)-F21-F22,0)</f>
        <v>1792541</v>
      </c>
    </row>
    <row r="25" spans="1:6" s="170" customFormat="1">
      <c r="B25" s="518"/>
      <c r="C25" s="1468" t="s">
        <v>216</v>
      </c>
      <c r="D25" s="1469"/>
      <c r="E25" s="1470"/>
      <c r="F25" s="520"/>
    </row>
    <row r="26" spans="1:6" s="170" customFormat="1">
      <c r="B26" s="518"/>
      <c r="C26" s="1468" t="s">
        <v>217</v>
      </c>
      <c r="D26" s="1469"/>
      <c r="E26" s="1470"/>
      <c r="F26" s="521">
        <f>ROUND(SUM(F17-F21),0)</f>
        <v>1625170</v>
      </c>
    </row>
    <row r="27" spans="1:6" s="170" customFormat="1">
      <c r="B27" s="518"/>
      <c r="C27" s="1468" t="s">
        <v>218</v>
      </c>
      <c r="D27" s="1469"/>
      <c r="E27" s="1470"/>
      <c r="F27" s="521">
        <f>ROUND(SUM(F18-F22),0)</f>
        <v>167371</v>
      </c>
    </row>
    <row r="28" spans="1:6" s="170" customFormat="1">
      <c r="A28" s="515"/>
      <c r="B28" s="515"/>
      <c r="C28" s="515"/>
      <c r="D28" s="515"/>
      <c r="E28" s="515"/>
      <c r="F28" s="522"/>
    </row>
    <row r="29" spans="1:6">
      <c r="A29" s="1477" t="s">
        <v>13</v>
      </c>
      <c r="B29" s="1477"/>
      <c r="C29" s="1477"/>
      <c r="D29" s="1477"/>
      <c r="E29" s="1477"/>
      <c r="F29" s="1477"/>
    </row>
    <row r="30" spans="1:6" ht="25.5">
      <c r="A30" s="190" t="s">
        <v>205</v>
      </c>
      <c r="B30" s="190" t="s">
        <v>206</v>
      </c>
      <c r="C30" s="191" t="s">
        <v>207</v>
      </c>
      <c r="D30" s="191" t="s">
        <v>220</v>
      </c>
      <c r="E30" s="191" t="s">
        <v>209</v>
      </c>
      <c r="F30" s="191" t="s">
        <v>210</v>
      </c>
    </row>
    <row r="31" spans="1:6">
      <c r="A31" s="1478" t="s">
        <v>221</v>
      </c>
      <c r="B31" s="502" t="s">
        <v>212</v>
      </c>
      <c r="C31" s="503">
        <v>6816</v>
      </c>
      <c r="D31" s="504">
        <v>31.77</v>
      </c>
      <c r="E31" s="502">
        <v>5.31</v>
      </c>
      <c r="F31" s="504">
        <f>SUM(C31*D31)+E31*C31</f>
        <v>252737.28</v>
      </c>
    </row>
    <row r="32" spans="1:6">
      <c r="A32" s="1479"/>
      <c r="B32" s="502" t="s">
        <v>213</v>
      </c>
      <c r="C32" s="503">
        <v>78366</v>
      </c>
      <c r="D32" s="504">
        <v>44.82</v>
      </c>
      <c r="E32" s="502">
        <v>5.31</v>
      </c>
      <c r="F32" s="504">
        <f>SUM(C32*D32)+E32*C32</f>
        <v>3928487.58</v>
      </c>
    </row>
    <row r="33" spans="1:6">
      <c r="A33" s="1480"/>
      <c r="B33" s="502" t="s">
        <v>214</v>
      </c>
      <c r="C33" s="503">
        <v>76958</v>
      </c>
      <c r="D33" s="504">
        <v>6.5</v>
      </c>
      <c r="E33" s="502">
        <v>5.31</v>
      </c>
      <c r="F33" s="504">
        <f>SUM(C33*D33)+E33*C33</f>
        <v>908873.98</v>
      </c>
    </row>
    <row r="34" spans="1:6">
      <c r="A34" s="1483" t="s">
        <v>215</v>
      </c>
      <c r="B34" s="1484"/>
      <c r="C34" s="1469"/>
      <c r="D34" s="1469"/>
      <c r="E34" s="1470"/>
      <c r="F34" s="509">
        <f>SUM(F31:F33)</f>
        <v>5090098.84</v>
      </c>
    </row>
    <row r="35" spans="1:6" s="498" customFormat="1">
      <c r="B35" s="511"/>
      <c r="C35" s="1475" t="s">
        <v>216</v>
      </c>
      <c r="D35" s="1475"/>
      <c r="E35" s="1476"/>
      <c r="F35" s="510"/>
    </row>
    <row r="36" spans="1:6" s="498" customFormat="1">
      <c r="B36" s="511"/>
      <c r="C36" s="1485" t="s">
        <v>217</v>
      </c>
      <c r="D36" s="1485"/>
      <c r="E36" s="1486"/>
      <c r="F36" s="510">
        <f>SUM(C31*D31)+(C32*D32)+(C33*D33)</f>
        <v>4229135.4399999995</v>
      </c>
    </row>
    <row r="37" spans="1:6" s="498" customFormat="1">
      <c r="B37" s="511"/>
      <c r="C37" s="1485" t="s">
        <v>218</v>
      </c>
      <c r="D37" s="1485"/>
      <c r="E37" s="1486"/>
      <c r="F37" s="510">
        <f>SUM(C31+C32+C33)*E31</f>
        <v>860963.39999999991</v>
      </c>
    </row>
    <row r="38" spans="1:6" s="170" customFormat="1">
      <c r="C38" s="1471" t="s">
        <v>796</v>
      </c>
      <c r="D38" s="1471"/>
      <c r="E38" s="1471"/>
      <c r="F38" s="1471"/>
    </row>
    <row r="39" spans="1:6" s="170" customFormat="1">
      <c r="B39" s="518"/>
      <c r="C39" s="1469" t="s">
        <v>217</v>
      </c>
      <c r="D39" s="1469"/>
      <c r="E39" s="1470"/>
      <c r="F39" s="509">
        <v>2402897</v>
      </c>
    </row>
    <row r="40" spans="1:6" s="170" customFormat="1">
      <c r="B40" s="518"/>
      <c r="C40" s="1469" t="s">
        <v>218</v>
      </c>
      <c r="D40" s="1469"/>
      <c r="E40" s="1470"/>
      <c r="F40" s="514">
        <f>130620*E31</f>
        <v>693592.2</v>
      </c>
    </row>
    <row r="41" spans="1:6" s="170" customFormat="1">
      <c r="A41" s="515"/>
      <c r="B41" s="515"/>
      <c r="C41" s="516"/>
      <c r="D41" s="516"/>
      <c r="E41" s="516"/>
      <c r="F41" s="517"/>
    </row>
    <row r="42" spans="1:6" s="170" customFormat="1">
      <c r="B42" s="518"/>
      <c r="C42" s="1468" t="s">
        <v>222</v>
      </c>
      <c r="D42" s="1469"/>
      <c r="E42" s="1470"/>
      <c r="F42" s="519">
        <f>ROUND(SUM(F34)-F39-F40,0)</f>
        <v>1993610</v>
      </c>
    </row>
    <row r="43" spans="1:6" s="170" customFormat="1">
      <c r="B43" s="518"/>
      <c r="C43" s="1468" t="s">
        <v>216</v>
      </c>
      <c r="D43" s="1469"/>
      <c r="E43" s="1470"/>
      <c r="F43" s="520"/>
    </row>
    <row r="44" spans="1:6" s="170" customFormat="1">
      <c r="B44" s="518"/>
      <c r="C44" s="1468" t="s">
        <v>217</v>
      </c>
      <c r="D44" s="1469"/>
      <c r="E44" s="1470"/>
      <c r="F44" s="521">
        <f>ROUND(SUM(F36-F39),0)</f>
        <v>1826238</v>
      </c>
    </row>
    <row r="45" spans="1:6" s="170" customFormat="1">
      <c r="B45" s="518"/>
      <c r="C45" s="1468" t="s">
        <v>218</v>
      </c>
      <c r="D45" s="1469"/>
      <c r="E45" s="1470"/>
      <c r="F45" s="521">
        <f>ROUND(SUM(F37-F40),0)</f>
        <v>167371</v>
      </c>
    </row>
    <row r="46" spans="1:6">
      <c r="F46" s="523"/>
    </row>
    <row r="47" spans="1:6" s="499" customFormat="1" ht="11.25">
      <c r="A47" s="499" t="s">
        <v>795</v>
      </c>
    </row>
    <row r="49" spans="1:6">
      <c r="A49" s="1477" t="s">
        <v>223</v>
      </c>
      <c r="B49" s="1477"/>
      <c r="C49" s="1477"/>
      <c r="D49" s="1477"/>
      <c r="E49" s="1477"/>
      <c r="F49" s="1477"/>
    </row>
    <row r="50" spans="1:6" ht="25.5">
      <c r="A50" s="190" t="s">
        <v>205</v>
      </c>
      <c r="B50" s="190" t="s">
        <v>206</v>
      </c>
      <c r="C50" s="191" t="s">
        <v>207</v>
      </c>
      <c r="D50" s="191" t="s">
        <v>208</v>
      </c>
      <c r="E50" s="191" t="s">
        <v>209</v>
      </c>
      <c r="F50" s="191" t="s">
        <v>210</v>
      </c>
    </row>
    <row r="51" spans="1:6">
      <c r="A51" s="1478" t="s">
        <v>224</v>
      </c>
      <c r="B51" s="502" t="s">
        <v>212</v>
      </c>
      <c r="C51" s="503">
        <v>6816</v>
      </c>
      <c r="D51" s="502">
        <v>33.36</v>
      </c>
      <c r="E51" s="502">
        <v>5.31</v>
      </c>
      <c r="F51" s="504">
        <f>SUM(C51*D51)+E51*C51</f>
        <v>263574.72000000003</v>
      </c>
    </row>
    <row r="52" spans="1:6">
      <c r="A52" s="1479"/>
      <c r="B52" s="502" t="s">
        <v>213</v>
      </c>
      <c r="C52" s="503">
        <v>78366</v>
      </c>
      <c r="D52" s="502">
        <v>47.06</v>
      </c>
      <c r="E52" s="502">
        <v>5.31</v>
      </c>
      <c r="F52" s="504">
        <f>SUM(C52*D52)+E52*C52</f>
        <v>4104027.42</v>
      </c>
    </row>
    <row r="53" spans="1:6">
      <c r="A53" s="1480"/>
      <c r="B53" s="502" t="s">
        <v>214</v>
      </c>
      <c r="C53" s="503">
        <v>76958</v>
      </c>
      <c r="D53" s="502">
        <v>6.83</v>
      </c>
      <c r="E53" s="502">
        <v>5.31</v>
      </c>
      <c r="F53" s="504">
        <f>SUM(C53*D53)+E53*C53</f>
        <v>934270.12</v>
      </c>
    </row>
    <row r="54" spans="1:6">
      <c r="A54" s="524"/>
      <c r="B54" s="525"/>
      <c r="C54" s="1469" t="s">
        <v>215</v>
      </c>
      <c r="D54" s="1469"/>
      <c r="E54" s="1470"/>
      <c r="F54" s="509">
        <f>SUM(F51:F53)</f>
        <v>5301872.26</v>
      </c>
    </row>
    <row r="55" spans="1:6">
      <c r="A55" s="170"/>
      <c r="B55" s="518"/>
      <c r="C55" s="1475" t="s">
        <v>216</v>
      </c>
      <c r="D55" s="1475"/>
      <c r="E55" s="1476"/>
      <c r="F55" s="509"/>
    </row>
    <row r="56" spans="1:6">
      <c r="A56" s="170"/>
      <c r="B56" s="518"/>
      <c r="C56" s="1475" t="s">
        <v>217</v>
      </c>
      <c r="D56" s="1475"/>
      <c r="E56" s="1476"/>
      <c r="F56" s="509">
        <f>SUM(C51*D51)+(C52*D52)+(C53*D53)</f>
        <v>4440908.8599999994</v>
      </c>
    </row>
    <row r="57" spans="1:6">
      <c r="A57" s="170"/>
      <c r="B57" s="518"/>
      <c r="C57" s="1475" t="s">
        <v>218</v>
      </c>
      <c r="D57" s="1475"/>
      <c r="E57" s="1476"/>
      <c r="F57" s="509">
        <f>SUM(C53+C51+C52)*E51</f>
        <v>860963.39999999991</v>
      </c>
    </row>
    <row r="58" spans="1:6" s="170" customFormat="1">
      <c r="C58" s="1471" t="s">
        <v>796</v>
      </c>
      <c r="D58" s="1471"/>
      <c r="E58" s="1471"/>
      <c r="F58" s="1471"/>
    </row>
    <row r="59" spans="1:6" s="170" customFormat="1">
      <c r="B59" s="518"/>
      <c r="C59" s="1469" t="s">
        <v>217</v>
      </c>
      <c r="D59" s="1469"/>
      <c r="E59" s="1470"/>
      <c r="F59" s="509">
        <v>2402897</v>
      </c>
    </row>
    <row r="60" spans="1:6" s="170" customFormat="1">
      <c r="B60" s="518"/>
      <c r="C60" s="1469" t="s">
        <v>218</v>
      </c>
      <c r="D60" s="1469"/>
      <c r="E60" s="1470"/>
      <c r="F60" s="514">
        <f>130620*E51</f>
        <v>693592.2</v>
      </c>
    </row>
    <row r="61" spans="1:6" s="170" customFormat="1">
      <c r="A61" s="515"/>
      <c r="B61" s="515"/>
      <c r="C61" s="516"/>
      <c r="D61" s="516"/>
      <c r="E61" s="516"/>
      <c r="F61" s="517"/>
    </row>
    <row r="62" spans="1:6" s="170" customFormat="1">
      <c r="B62" s="518"/>
      <c r="C62" s="1472" t="s">
        <v>225</v>
      </c>
      <c r="D62" s="1473"/>
      <c r="E62" s="1474"/>
      <c r="F62" s="519">
        <f>SUM(F54)-F59-F60</f>
        <v>2205383.0599999996</v>
      </c>
    </row>
    <row r="63" spans="1:6" s="170" customFormat="1">
      <c r="B63" s="518"/>
      <c r="C63" s="1468" t="s">
        <v>216</v>
      </c>
      <c r="D63" s="1469"/>
      <c r="E63" s="1470"/>
      <c r="F63" s="520"/>
    </row>
    <row r="64" spans="1:6" s="170" customFormat="1">
      <c r="B64" s="518"/>
      <c r="C64" s="1468" t="s">
        <v>217</v>
      </c>
      <c r="D64" s="1469"/>
      <c r="E64" s="1470"/>
      <c r="F64" s="521">
        <f>SUM(F56-F59)</f>
        <v>2038011.8599999994</v>
      </c>
    </row>
    <row r="65" spans="1:6" s="170" customFormat="1">
      <c r="B65" s="518"/>
      <c r="C65" s="1468" t="s">
        <v>218</v>
      </c>
      <c r="D65" s="1469"/>
      <c r="E65" s="1470"/>
      <c r="F65" s="521">
        <f>SUM(F57-F60)</f>
        <v>167371.19999999995</v>
      </c>
    </row>
    <row r="67" spans="1:6" s="499" customFormat="1" ht="11.25">
      <c r="A67" s="499" t="s">
        <v>795</v>
      </c>
    </row>
  </sheetData>
  <mergeCells count="43">
    <mergeCell ref="C21:E21"/>
    <mergeCell ref="A3:F3"/>
    <mergeCell ref="A5:B5"/>
    <mergeCell ref="A6:B6"/>
    <mergeCell ref="A7:B7"/>
    <mergeCell ref="A10:F10"/>
    <mergeCell ref="A12:A14"/>
    <mergeCell ref="C15:E15"/>
    <mergeCell ref="C16:E16"/>
    <mergeCell ref="C17:E17"/>
    <mergeCell ref="C18:E18"/>
    <mergeCell ref="C20:F20"/>
    <mergeCell ref="C38:F38"/>
    <mergeCell ref="C22:E22"/>
    <mergeCell ref="C24:E24"/>
    <mergeCell ref="C25:E25"/>
    <mergeCell ref="C26:E26"/>
    <mergeCell ref="C27:E27"/>
    <mergeCell ref="A29:F29"/>
    <mergeCell ref="A31:A33"/>
    <mergeCell ref="A34:E34"/>
    <mergeCell ref="C35:E35"/>
    <mergeCell ref="C36:E36"/>
    <mergeCell ref="C37:E37"/>
    <mergeCell ref="C57:E57"/>
    <mergeCell ref="C39:E39"/>
    <mergeCell ref="C40:E40"/>
    <mergeCell ref="C42:E42"/>
    <mergeCell ref="C43:E43"/>
    <mergeCell ref="C44:E44"/>
    <mergeCell ref="C45:E45"/>
    <mergeCell ref="A49:F49"/>
    <mergeCell ref="A51:A53"/>
    <mergeCell ref="C54:E54"/>
    <mergeCell ref="C55:E55"/>
    <mergeCell ref="C56:E56"/>
    <mergeCell ref="C65:E65"/>
    <mergeCell ref="C58:F58"/>
    <mergeCell ref="C59:E59"/>
    <mergeCell ref="C60:E60"/>
    <mergeCell ref="C62:E62"/>
    <mergeCell ref="C63:E63"/>
    <mergeCell ref="C64:E64"/>
  </mergeCells>
  <pageMargins left="0.7" right="0.7" top="0.75" bottom="0.75" header="0.3" footer="0.3"/>
  <pageSetup paperSize="9" scale="73"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CF52D-24D7-450E-A7CE-846357464246}">
  <sheetPr>
    <tabColor theme="7" tint="0.79998168889431442"/>
  </sheetPr>
  <dimension ref="A1:K31"/>
  <sheetViews>
    <sheetView view="pageBreakPreview" zoomScale="60" zoomScaleNormal="100" workbookViewId="0">
      <selection activeCell="E5" sqref="E5"/>
    </sheetView>
  </sheetViews>
  <sheetFormatPr defaultColWidth="9.140625" defaultRowHeight="12.75"/>
  <cols>
    <col min="1" max="1" width="32.28515625" style="296" customWidth="1"/>
    <col min="2" max="5" width="19.42578125" style="296" customWidth="1"/>
    <col min="6" max="10" width="15.42578125" style="296" customWidth="1"/>
    <col min="11" max="16384" width="9.140625" style="296"/>
  </cols>
  <sheetData>
    <row r="1" spans="1:11">
      <c r="J1" s="986" t="s">
        <v>809</v>
      </c>
    </row>
    <row r="2" spans="1:11" ht="15.75">
      <c r="C2" s="826" t="s">
        <v>802</v>
      </c>
    </row>
    <row r="3" spans="1:11">
      <c r="A3" s="673"/>
    </row>
    <row r="4" spans="1:11" ht="99" customHeight="1">
      <c r="A4" s="297" t="s">
        <v>200</v>
      </c>
      <c r="B4" s="297" t="s">
        <v>227</v>
      </c>
      <c r="C4" s="298" t="s">
        <v>228</v>
      </c>
      <c r="D4" s="298" t="s">
        <v>229</v>
      </c>
      <c r="E4" s="298" t="s">
        <v>230</v>
      </c>
      <c r="H4" s="716"/>
      <c r="I4" s="717"/>
    </row>
    <row r="5" spans="1:11" ht="25.5">
      <c r="A5" s="718" t="s">
        <v>63</v>
      </c>
      <c r="B5" s="719">
        <f>(C10*C25)+(C11*C31)</f>
        <v>66229.399999999994</v>
      </c>
      <c r="C5" s="720">
        <f>F10+F11</f>
        <v>38995.899999999994</v>
      </c>
      <c r="D5" s="720">
        <f>H10+H11</f>
        <v>47987.199999999997</v>
      </c>
      <c r="E5" s="720">
        <f>J10+J11</f>
        <v>56973.049999999996</v>
      </c>
    </row>
    <row r="9" spans="1:11" ht="89.25">
      <c r="A9" s="721" t="s">
        <v>231</v>
      </c>
      <c r="B9" s="301" t="s">
        <v>232</v>
      </c>
      <c r="C9" s="301" t="s">
        <v>233</v>
      </c>
      <c r="D9" s="301" t="s">
        <v>234</v>
      </c>
      <c r="E9" s="301" t="s">
        <v>235</v>
      </c>
      <c r="F9" s="302" t="s">
        <v>800</v>
      </c>
      <c r="G9" s="301" t="s">
        <v>236</v>
      </c>
      <c r="H9" s="302" t="s">
        <v>801</v>
      </c>
      <c r="I9" s="301" t="s">
        <v>237</v>
      </c>
      <c r="J9" s="302" t="s">
        <v>238</v>
      </c>
    </row>
    <row r="10" spans="1:11">
      <c r="A10" s="307" t="s">
        <v>239</v>
      </c>
      <c r="B10" s="300">
        <v>41095</v>
      </c>
      <c r="C10" s="307">
        <v>1.1499999999999999</v>
      </c>
      <c r="D10" s="307">
        <v>1</v>
      </c>
      <c r="E10" s="722">
        <f>ROUND(B15*0.5,0)-C25</f>
        <v>27430</v>
      </c>
      <c r="F10" s="308">
        <f>C10*D10*E10</f>
        <v>31544.499999999996</v>
      </c>
      <c r="G10" s="722">
        <f>ROUND(B15*0.55,0)-C25</f>
        <v>34600</v>
      </c>
      <c r="H10" s="308">
        <f>G10*C10</f>
        <v>39790</v>
      </c>
      <c r="I10" s="722">
        <f>ROUND(B15*0.6,0)-C25</f>
        <v>41771</v>
      </c>
      <c r="J10" s="308">
        <f>I10*C10</f>
        <v>48036.649999999994</v>
      </c>
      <c r="K10" s="723"/>
    </row>
    <row r="11" spans="1:11">
      <c r="A11" s="307" t="s">
        <v>240</v>
      </c>
      <c r="B11" s="300" t="s">
        <v>241</v>
      </c>
      <c r="C11" s="724">
        <v>6.6</v>
      </c>
      <c r="D11" s="307">
        <v>1</v>
      </c>
      <c r="E11" s="309">
        <f>ROUND(((B15-C31)*0.016)*0.5,0)</f>
        <v>1129</v>
      </c>
      <c r="F11" s="308">
        <f>C11*E11*D11</f>
        <v>7451.4</v>
      </c>
      <c r="G11" s="725">
        <f>ROUND(((B15-C31)*0.016)*0.55,0)</f>
        <v>1242</v>
      </c>
      <c r="H11" s="726">
        <f>G11*C11</f>
        <v>8197.1999999999989</v>
      </c>
      <c r="I11" s="727">
        <f>ROUND(((B15-C31)*0.016)*0.6,0)</f>
        <v>1354</v>
      </c>
      <c r="J11" s="308">
        <f>C11*I11</f>
        <v>8936.4</v>
      </c>
    </row>
    <row r="12" spans="1:11">
      <c r="F12" s="728">
        <f>F10+F11</f>
        <v>38995.899999999994</v>
      </c>
      <c r="H12" s="728">
        <f>H10+H11</f>
        <v>47987.199999999997</v>
      </c>
      <c r="J12" s="728">
        <f>J10+J11</f>
        <v>56973.049999999996</v>
      </c>
    </row>
    <row r="15" spans="1:11" ht="25.5">
      <c r="A15" s="635" t="s">
        <v>242</v>
      </c>
      <c r="B15" s="735">
        <v>143411</v>
      </c>
    </row>
    <row r="16" spans="1:11" ht="25.5">
      <c r="A16" s="635" t="s">
        <v>243</v>
      </c>
      <c r="B16" s="735">
        <f>ROUND(0.1*143411,0)</f>
        <v>14341</v>
      </c>
      <c r="D16" s="729"/>
      <c r="F16" s="729"/>
    </row>
    <row r="18" spans="1:3">
      <c r="A18" s="673" t="s">
        <v>244</v>
      </c>
    </row>
    <row r="19" spans="1:3">
      <c r="A19" s="730" t="s">
        <v>232</v>
      </c>
      <c r="B19" s="730" t="s">
        <v>245</v>
      </c>
      <c r="C19" s="730" t="s">
        <v>246</v>
      </c>
    </row>
    <row r="20" spans="1:3" ht="14.45" customHeight="1">
      <c r="A20" s="1494">
        <v>41095</v>
      </c>
      <c r="B20" s="731">
        <v>35</v>
      </c>
      <c r="C20" s="736">
        <v>8136</v>
      </c>
    </row>
    <row r="21" spans="1:3" ht="14.45" customHeight="1">
      <c r="A21" s="1495"/>
      <c r="B21" s="731">
        <v>36</v>
      </c>
      <c r="C21" s="736">
        <v>8750</v>
      </c>
    </row>
    <row r="22" spans="1:3" ht="14.45" customHeight="1">
      <c r="A22" s="1495"/>
      <c r="B22" s="731">
        <v>37</v>
      </c>
      <c r="C22" s="736">
        <v>9210</v>
      </c>
    </row>
    <row r="23" spans="1:3" ht="14.45" customHeight="1">
      <c r="A23" s="1495"/>
      <c r="B23" s="731">
        <v>38</v>
      </c>
      <c r="C23" s="736">
        <v>9135</v>
      </c>
    </row>
    <row r="24" spans="1:3" ht="14.45" customHeight="1">
      <c r="A24" s="1495"/>
      <c r="B24" s="731">
        <v>39</v>
      </c>
      <c r="C24" s="736">
        <v>9045</v>
      </c>
    </row>
    <row r="25" spans="1:3" ht="14.45" customHeight="1" thickBot="1">
      <c r="A25" s="1496"/>
      <c r="B25" s="732" t="s">
        <v>247</v>
      </c>
      <c r="C25" s="737">
        <f>SUM(C20:C24)</f>
        <v>44276</v>
      </c>
    </row>
    <row r="26" spans="1:3">
      <c r="A26" s="1495">
        <v>41096</v>
      </c>
      <c r="B26" s="733">
        <v>35</v>
      </c>
      <c r="C26" s="738">
        <v>552</v>
      </c>
    </row>
    <row r="27" spans="1:3" ht="14.45" customHeight="1">
      <c r="A27" s="1495"/>
      <c r="B27" s="731">
        <v>36</v>
      </c>
      <c r="C27" s="736">
        <v>528</v>
      </c>
    </row>
    <row r="28" spans="1:3" ht="14.45" customHeight="1">
      <c r="A28" s="1495"/>
      <c r="B28" s="731">
        <v>37</v>
      </c>
      <c r="C28" s="736">
        <v>455</v>
      </c>
    </row>
    <row r="29" spans="1:3" ht="14.45" customHeight="1">
      <c r="A29" s="1495"/>
      <c r="B29" s="731">
        <v>38</v>
      </c>
      <c r="C29" s="736">
        <v>411</v>
      </c>
    </row>
    <row r="30" spans="1:3" ht="14.45" customHeight="1">
      <c r="A30" s="1495"/>
      <c r="B30" s="731">
        <v>39</v>
      </c>
      <c r="C30" s="736">
        <v>374</v>
      </c>
    </row>
    <row r="31" spans="1:3" ht="14.45" customHeight="1">
      <c r="A31" s="1497"/>
      <c r="B31" s="734" t="s">
        <v>247</v>
      </c>
      <c r="C31" s="739">
        <f>SUM(C26:C30)</f>
        <v>2320</v>
      </c>
    </row>
  </sheetData>
  <mergeCells count="2">
    <mergeCell ref="A20:A25"/>
    <mergeCell ref="A26:A31"/>
  </mergeCells>
  <pageMargins left="0.7" right="0.7" top="0.75" bottom="0.75" header="0.3" footer="0.3"/>
  <pageSetup paperSize="9" scale="44"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8382A-7E86-4B26-81E1-6029E09E3F4A}">
  <sheetPr>
    <tabColor theme="7" tint="0.79998168889431442"/>
  </sheetPr>
  <dimension ref="A1:M16"/>
  <sheetViews>
    <sheetView view="pageBreakPreview" zoomScale="60" zoomScaleNormal="100" workbookViewId="0">
      <selection activeCell="A16" sqref="A16:K16"/>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K1" s="986" t="s">
        <v>808</v>
      </c>
    </row>
    <row r="2" spans="1:13">
      <c r="A2" s="1459" t="s">
        <v>68</v>
      </c>
      <c r="B2" s="1459"/>
      <c r="C2" s="1459"/>
      <c r="D2" s="987"/>
    </row>
    <row r="3" spans="1:13">
      <c r="A3" s="1462" t="s">
        <v>1</v>
      </c>
      <c r="B3" s="1464" t="s">
        <v>794</v>
      </c>
      <c r="C3" s="1465"/>
      <c r="D3" s="987"/>
    </row>
    <row r="4" spans="1:13">
      <c r="A4" s="1463"/>
      <c r="B4" s="988" t="s">
        <v>765</v>
      </c>
      <c r="C4" s="989" t="s">
        <v>766</v>
      </c>
      <c r="D4" s="990"/>
    </row>
    <row r="5" spans="1:13" ht="25.5">
      <c r="A5" s="991" t="s">
        <v>68</v>
      </c>
      <c r="B5" s="992">
        <f>30000*1.21</f>
        <v>36300</v>
      </c>
      <c r="C5" s="503">
        <v>0</v>
      </c>
      <c r="D5" s="990"/>
    </row>
    <row r="6" spans="1:13" ht="59.25" customHeight="1">
      <c r="A6" s="1460" t="s">
        <v>767</v>
      </c>
      <c r="B6" s="1460"/>
      <c r="C6" s="1460"/>
      <c r="D6" s="990"/>
    </row>
    <row r="7" spans="1:13">
      <c r="A7" s="1466"/>
      <c r="B7" s="1466"/>
      <c r="C7" s="1466"/>
    </row>
    <row r="9" spans="1:13">
      <c r="J9" s="1467"/>
      <c r="K9" s="1467"/>
    </row>
    <row r="10" spans="1:13">
      <c r="A10" s="1459" t="s">
        <v>68</v>
      </c>
      <c r="B10" s="1459"/>
      <c r="C10" s="1459"/>
      <c r="D10" s="1459"/>
      <c r="E10" s="1459"/>
      <c r="F10" s="1459"/>
      <c r="G10" s="1459"/>
      <c r="H10" s="1459"/>
      <c r="I10" s="1459"/>
      <c r="J10" s="1459"/>
      <c r="K10" s="1459"/>
    </row>
    <row r="11" spans="1:13" ht="63.75">
      <c r="A11" s="993"/>
      <c r="B11" s="994" t="s">
        <v>1</v>
      </c>
      <c r="C11" s="994" t="s">
        <v>2</v>
      </c>
      <c r="D11" s="988" t="s">
        <v>3</v>
      </c>
      <c r="E11" s="988" t="s">
        <v>768</v>
      </c>
      <c r="F11" s="988" t="s">
        <v>769</v>
      </c>
      <c r="G11" s="988" t="s">
        <v>770</v>
      </c>
      <c r="H11" s="988" t="s">
        <v>771</v>
      </c>
      <c r="I11" s="988" t="s">
        <v>772</v>
      </c>
      <c r="J11" s="988" t="s">
        <v>773</v>
      </c>
      <c r="K11" s="988" t="s">
        <v>774</v>
      </c>
    </row>
    <row r="12" spans="1:13">
      <c r="A12" s="1498" t="s">
        <v>776</v>
      </c>
      <c r="B12" s="1498" t="s">
        <v>68</v>
      </c>
      <c r="C12" s="1499"/>
      <c r="D12" s="1499"/>
      <c r="E12" s="994" t="s">
        <v>777</v>
      </c>
      <c r="F12" s="992">
        <v>1</v>
      </c>
      <c r="G12" s="992">
        <v>13950</v>
      </c>
      <c r="H12" s="992">
        <f>F12*G12</f>
        <v>13950</v>
      </c>
      <c r="I12" s="992">
        <v>21</v>
      </c>
      <c r="J12" s="992">
        <f>G12*1.21</f>
        <v>16879.5</v>
      </c>
      <c r="K12" s="992">
        <f>F12*J12</f>
        <v>16879.5</v>
      </c>
      <c r="M12" s="997"/>
    </row>
    <row r="13" spans="1:13">
      <c r="A13" s="1498"/>
      <c r="B13" s="1498"/>
      <c r="C13" s="1499"/>
      <c r="D13" s="1499"/>
      <c r="E13" s="994" t="s">
        <v>778</v>
      </c>
      <c r="F13" s="992">
        <v>1</v>
      </c>
      <c r="G13" s="992">
        <v>13950</v>
      </c>
      <c r="H13" s="992">
        <f t="shared" ref="H13:H14" si="0">F13*G13</f>
        <v>13950</v>
      </c>
      <c r="I13" s="992">
        <v>21</v>
      </c>
      <c r="J13" s="992">
        <f t="shared" ref="J13:J14" si="1">G13*1.21</f>
        <v>16879.5</v>
      </c>
      <c r="K13" s="992">
        <f t="shared" ref="K13:K14" si="2">F13*J13</f>
        <v>16879.5</v>
      </c>
      <c r="M13" s="997"/>
    </row>
    <row r="14" spans="1:13">
      <c r="A14" s="1498"/>
      <c r="B14" s="1498"/>
      <c r="C14" s="1499"/>
      <c r="D14" s="1499"/>
      <c r="E14" s="994" t="s">
        <v>779</v>
      </c>
      <c r="F14" s="992">
        <v>3</v>
      </c>
      <c r="G14" s="992">
        <v>700</v>
      </c>
      <c r="H14" s="992">
        <f t="shared" si="0"/>
        <v>2100</v>
      </c>
      <c r="I14" s="992">
        <v>21</v>
      </c>
      <c r="J14" s="992">
        <f t="shared" si="1"/>
        <v>847</v>
      </c>
      <c r="K14" s="992">
        <f t="shared" si="2"/>
        <v>2541</v>
      </c>
      <c r="M14" s="997"/>
    </row>
    <row r="15" spans="1:13">
      <c r="A15" s="502"/>
      <c r="B15" s="502"/>
      <c r="C15" s="502"/>
      <c r="D15" s="502"/>
      <c r="E15" s="502"/>
      <c r="F15" s="502"/>
      <c r="G15" s="502"/>
      <c r="H15" s="998">
        <f>SUM(H12:H14)</f>
        <v>30000</v>
      </c>
      <c r="I15" s="502"/>
      <c r="J15" s="998"/>
      <c r="K15" s="992">
        <f>SUM(K12:K14)</f>
        <v>36300</v>
      </c>
    </row>
    <row r="16" spans="1:13" ht="36.75" customHeight="1">
      <c r="A16" s="1460" t="s">
        <v>767</v>
      </c>
      <c r="B16" s="1460"/>
      <c r="C16" s="1460"/>
      <c r="D16" s="1460"/>
      <c r="E16" s="1460"/>
      <c r="F16" s="1460"/>
      <c r="G16" s="1460"/>
      <c r="H16" s="1460"/>
      <c r="I16" s="1460"/>
      <c r="J16" s="1460"/>
      <c r="K16" s="1460"/>
    </row>
  </sheetData>
  <mergeCells count="12">
    <mergeCell ref="A16:K16"/>
    <mergeCell ref="A2:C2"/>
    <mergeCell ref="A3:A4"/>
    <mergeCell ref="B3:C3"/>
    <mergeCell ref="A6:C6"/>
    <mergeCell ref="A7:C7"/>
    <mergeCell ref="J9:K9"/>
    <mergeCell ref="A10:K10"/>
    <mergeCell ref="A12:A14"/>
    <mergeCell ref="B12:B14"/>
    <mergeCell ref="C12:C14"/>
    <mergeCell ref="D12:D14"/>
  </mergeCells>
  <pageMargins left="0.7" right="0.7" top="0.75" bottom="0.75" header="0.3" footer="0.3"/>
  <pageSetup paperSize="9" scale="44"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F3938-21A4-44A1-9DDD-AEC56BB32959}">
  <sheetPr>
    <tabColor theme="7" tint="0.79998168889431442"/>
  </sheetPr>
  <dimension ref="A1:O65"/>
  <sheetViews>
    <sheetView view="pageBreakPreview" topLeftCell="A10" zoomScale="60" zoomScaleNormal="90" workbookViewId="0">
      <selection activeCell="E4" sqref="E4"/>
    </sheetView>
  </sheetViews>
  <sheetFormatPr defaultColWidth="9.140625" defaultRowHeight="12.75"/>
  <cols>
    <col min="1" max="1" width="24.140625" style="296" customWidth="1"/>
    <col min="2" max="2" width="24.28515625" style="296" customWidth="1"/>
    <col min="3" max="3" width="22.7109375" style="296" customWidth="1"/>
    <col min="4" max="4" width="14.42578125" style="296" customWidth="1"/>
    <col min="5" max="5" width="19.7109375" style="296" customWidth="1"/>
    <col min="6" max="10" width="18.140625" style="296" customWidth="1"/>
    <col min="11" max="11" width="21.7109375" style="296" customWidth="1"/>
    <col min="12" max="12" width="20" style="296" customWidth="1"/>
    <col min="13" max="13" width="19.42578125" style="296" customWidth="1"/>
    <col min="14" max="14" width="21.42578125" style="296" customWidth="1"/>
    <col min="15" max="15" width="22.85546875" style="296" customWidth="1"/>
    <col min="16" max="16384" width="9.140625" style="296"/>
  </cols>
  <sheetData>
    <row r="1" spans="1:15">
      <c r="O1" s="296" t="s">
        <v>807</v>
      </c>
    </row>
    <row r="2" spans="1:15" ht="15.75">
      <c r="B2" s="1067" t="s">
        <v>860</v>
      </c>
      <c r="C2" s="460"/>
      <c r="D2" s="460"/>
      <c r="E2" s="1066"/>
    </row>
    <row r="4" spans="1:15" ht="82.5" customHeight="1">
      <c r="A4" s="297" t="s">
        <v>200</v>
      </c>
      <c r="B4" s="298" t="s">
        <v>248</v>
      </c>
      <c r="C4" s="298" t="s">
        <v>201</v>
      </c>
      <c r="D4" s="298" t="s">
        <v>202</v>
      </c>
      <c r="E4" s="298" t="s">
        <v>230</v>
      </c>
    </row>
    <row r="5" spans="1:15" ht="40.5" customHeight="1">
      <c r="A5" s="299" t="s">
        <v>63</v>
      </c>
      <c r="B5" s="740">
        <f>ROUND(C12*88,0)</f>
        <v>356</v>
      </c>
      <c r="C5" s="459">
        <f>ROUND(G12,0)</f>
        <v>1081006</v>
      </c>
      <c r="D5" s="459">
        <f>ROUND(I12,0)</f>
        <v>777304</v>
      </c>
      <c r="E5" s="459">
        <f>ROUND(K12,0)</f>
        <v>568786</v>
      </c>
    </row>
    <row r="6" spans="1:15">
      <c r="A6" s="741"/>
      <c r="C6" s="742"/>
      <c r="D6" s="742"/>
      <c r="E6" s="742"/>
    </row>
    <row r="7" spans="1:15" s="743" customFormat="1">
      <c r="A7" s="743" t="s">
        <v>804</v>
      </c>
      <c r="B7" s="296"/>
    </row>
    <row r="11" spans="1:15" ht="51">
      <c r="A11" s="297" t="s">
        <v>232</v>
      </c>
      <c r="B11" s="297" t="s">
        <v>231</v>
      </c>
      <c r="C11" s="306" t="s">
        <v>249</v>
      </c>
      <c r="D11" s="306" t="s">
        <v>250</v>
      </c>
      <c r="E11" s="306" t="s">
        <v>251</v>
      </c>
      <c r="F11" s="301" t="s">
        <v>252</v>
      </c>
      <c r="G11" s="302" t="s">
        <v>253</v>
      </c>
      <c r="H11" s="301" t="s">
        <v>254</v>
      </c>
      <c r="I11" s="302" t="s">
        <v>255</v>
      </c>
      <c r="J11" s="302" t="s">
        <v>256</v>
      </c>
      <c r="K11" s="302" t="s">
        <v>806</v>
      </c>
      <c r="L11" s="302" t="s">
        <v>257</v>
      </c>
      <c r="M11" s="302" t="s">
        <v>805</v>
      </c>
      <c r="N11" s="302" t="s">
        <v>258</v>
      </c>
      <c r="O11" s="302" t="s">
        <v>259</v>
      </c>
    </row>
    <row r="12" spans="1:15" ht="36" customHeight="1">
      <c r="A12" s="745">
        <v>41051</v>
      </c>
      <c r="B12" s="745" t="s">
        <v>260</v>
      </c>
      <c r="C12" s="303">
        <v>4.05</v>
      </c>
      <c r="D12" s="304">
        <f>R9</f>
        <v>0</v>
      </c>
      <c r="E12" s="305">
        <v>1</v>
      </c>
      <c r="F12" s="744">
        <f>C16</f>
        <v>266915</v>
      </c>
      <c r="G12" s="744">
        <f>F12*C12</f>
        <v>1081005.75</v>
      </c>
      <c r="H12" s="744">
        <f>C17</f>
        <v>191927</v>
      </c>
      <c r="I12" s="1055">
        <f>ROUND(H12*C12,0)</f>
        <v>777304</v>
      </c>
      <c r="J12" s="744">
        <f>C18</f>
        <v>140441</v>
      </c>
      <c r="K12" s="1056">
        <f>ROUND(J12*C12,0)</f>
        <v>568786</v>
      </c>
      <c r="L12" s="316">
        <f>C19</f>
        <v>104923</v>
      </c>
      <c r="M12" s="744">
        <f>L12*C12</f>
        <v>424938.14999999997</v>
      </c>
      <c r="N12" s="316">
        <f>C20</f>
        <v>78735</v>
      </c>
      <c r="O12" s="1054">
        <f>ROUND(C20*C12,0)</f>
        <v>318877</v>
      </c>
    </row>
    <row r="13" spans="1:15">
      <c r="A13" s="296" t="s">
        <v>261</v>
      </c>
    </row>
    <row r="14" spans="1:15">
      <c r="H14" s="314"/>
    </row>
    <row r="15" spans="1:15">
      <c r="A15" s="300" t="s">
        <v>262</v>
      </c>
      <c r="B15" s="300" t="s">
        <v>263</v>
      </c>
      <c r="C15" s="300" t="s">
        <v>264</v>
      </c>
      <c r="D15" s="307" t="s">
        <v>265</v>
      </c>
      <c r="H15" s="314"/>
    </row>
    <row r="16" spans="1:15">
      <c r="A16" s="307">
        <v>2026</v>
      </c>
      <c r="B16" s="307" t="s">
        <v>266</v>
      </c>
      <c r="C16" s="311">
        <f>SUM(C29:C64)</f>
        <v>266915</v>
      </c>
      <c r="D16" s="315">
        <f>$C$12*C16</f>
        <v>1081005.75</v>
      </c>
      <c r="H16" s="313"/>
    </row>
    <row r="17" spans="1:12">
      <c r="A17" s="307">
        <v>2027</v>
      </c>
      <c r="B17" s="307" t="s">
        <v>267</v>
      </c>
      <c r="C17" s="311">
        <f>SUM(E29:E63)+C28</f>
        <v>191927</v>
      </c>
      <c r="D17" s="315">
        <f t="shared" ref="D17:D20" si="0">$C$12*C17</f>
        <v>777304.35</v>
      </c>
      <c r="E17" s="296" t="s">
        <v>268</v>
      </c>
    </row>
    <row r="18" spans="1:12">
      <c r="A18" s="307">
        <v>2028</v>
      </c>
      <c r="B18" s="307" t="s">
        <v>269</v>
      </c>
      <c r="C18" s="311">
        <f>SUM(G29:G62)+E28+C27</f>
        <v>140441</v>
      </c>
      <c r="D18" s="315">
        <f t="shared" si="0"/>
        <v>568786.04999999993</v>
      </c>
      <c r="E18" s="296" t="s">
        <v>270</v>
      </c>
    </row>
    <row r="19" spans="1:12">
      <c r="A19" s="307">
        <v>2029</v>
      </c>
      <c r="B19" s="307" t="s">
        <v>271</v>
      </c>
      <c r="C19" s="311">
        <f>SUM(I29:I61)+G28+E27+C26</f>
        <v>104923</v>
      </c>
      <c r="D19" s="315">
        <f t="shared" si="0"/>
        <v>424938.14999999997</v>
      </c>
    </row>
    <row r="20" spans="1:12">
      <c r="A20" s="307">
        <v>2030</v>
      </c>
      <c r="B20" s="307" t="s">
        <v>272</v>
      </c>
      <c r="C20" s="311">
        <f>SUM(K29:K59)+C25+E26+G27+I28</f>
        <v>78735</v>
      </c>
      <c r="D20" s="315">
        <f t="shared" si="0"/>
        <v>318876.75</v>
      </c>
    </row>
    <row r="23" spans="1:12" ht="15" customHeight="1">
      <c r="A23" s="1500" t="s">
        <v>273</v>
      </c>
      <c r="B23" s="1500"/>
      <c r="C23" s="1501">
        <v>2026</v>
      </c>
      <c r="D23" s="1501"/>
      <c r="E23" s="1501">
        <v>2027</v>
      </c>
      <c r="F23" s="1501"/>
      <c r="G23" s="1501" t="s">
        <v>274</v>
      </c>
      <c r="H23" s="1501"/>
      <c r="I23" s="1501">
        <v>2029</v>
      </c>
      <c r="J23" s="1501"/>
      <c r="K23" s="1501">
        <v>2030</v>
      </c>
      <c r="L23" s="1501"/>
    </row>
    <row r="24" spans="1:12">
      <c r="A24" s="1500"/>
      <c r="B24" s="1500"/>
      <c r="C24" s="310">
        <v>0.3</v>
      </c>
      <c r="D24" s="310">
        <v>0.7</v>
      </c>
      <c r="E24" s="310">
        <v>0.3</v>
      </c>
      <c r="F24" s="310">
        <v>0.7</v>
      </c>
      <c r="G24" s="310">
        <v>0.3</v>
      </c>
      <c r="H24" s="310">
        <v>0.7</v>
      </c>
      <c r="I24" s="310">
        <v>0.3</v>
      </c>
      <c r="J24" s="310">
        <v>0.7</v>
      </c>
      <c r="K24" s="310">
        <v>0.3</v>
      </c>
      <c r="L24" s="310">
        <v>0.7</v>
      </c>
    </row>
    <row r="25" spans="1:12">
      <c r="A25" s="308" t="s">
        <v>275</v>
      </c>
      <c r="B25" s="309">
        <v>27470</v>
      </c>
      <c r="C25" s="309">
        <f>ROUND(B25*0.3,0)</f>
        <v>8241</v>
      </c>
      <c r="D25" s="309">
        <f>B25-C25</f>
        <v>19229</v>
      </c>
      <c r="E25" s="309">
        <f>ROUND(D25*0.3,0)</f>
        <v>5769</v>
      </c>
      <c r="F25" s="311">
        <f>D25-E25</f>
        <v>13460</v>
      </c>
      <c r="G25" s="309">
        <f>ROUND(F25*0.3,0)</f>
        <v>4038</v>
      </c>
      <c r="H25" s="309">
        <f>F25-G25</f>
        <v>9422</v>
      </c>
      <c r="I25" s="309">
        <f>ROUND(H25*0.3,0)</f>
        <v>2827</v>
      </c>
      <c r="J25" s="311">
        <f>H25-I25</f>
        <v>6595</v>
      </c>
      <c r="K25" s="312">
        <f>ROUND(J25*0.3,0)</f>
        <v>1979</v>
      </c>
      <c r="L25" s="311">
        <f>J25-K25</f>
        <v>4616</v>
      </c>
    </row>
    <row r="26" spans="1:12">
      <c r="A26" s="308" t="s">
        <v>276</v>
      </c>
      <c r="B26" s="309">
        <v>28696</v>
      </c>
      <c r="C26" s="309">
        <f t="shared" ref="C26:C65" si="1">ROUND(B26*0.3,0)</f>
        <v>8609</v>
      </c>
      <c r="D26" s="309">
        <f t="shared" ref="D26:D65" si="2">B26-C26</f>
        <v>20087</v>
      </c>
      <c r="E26" s="309">
        <f t="shared" ref="E26:E65" si="3">ROUND(D26*0.3,0)</f>
        <v>6026</v>
      </c>
      <c r="F26" s="311">
        <f t="shared" ref="F26:F65" si="4">D26-E26</f>
        <v>14061</v>
      </c>
      <c r="G26" s="309">
        <f t="shared" ref="G26:G65" si="5">ROUND(F26*0.3,0)</f>
        <v>4218</v>
      </c>
      <c r="H26" s="309">
        <f t="shared" ref="H26:H65" si="6">F26-G26</f>
        <v>9843</v>
      </c>
      <c r="I26" s="309">
        <f t="shared" ref="I26:I65" si="7">ROUND(H26*0.3,0)</f>
        <v>2953</v>
      </c>
      <c r="J26" s="311">
        <f t="shared" ref="J26:J65" si="8">H26-I26</f>
        <v>6890</v>
      </c>
      <c r="K26" s="312">
        <f t="shared" ref="K26:K65" si="9">ROUND(J26*0.3,0)</f>
        <v>2067</v>
      </c>
      <c r="L26" s="311">
        <f t="shared" ref="L26:L65" si="10">J26-K26</f>
        <v>4823</v>
      </c>
    </row>
    <row r="27" spans="1:12">
      <c r="A27" s="308" t="s">
        <v>277</v>
      </c>
      <c r="B27" s="309">
        <v>29540</v>
      </c>
      <c r="C27" s="309">
        <f t="shared" si="1"/>
        <v>8862</v>
      </c>
      <c r="D27" s="309">
        <f t="shared" si="2"/>
        <v>20678</v>
      </c>
      <c r="E27" s="309">
        <f t="shared" si="3"/>
        <v>6203</v>
      </c>
      <c r="F27" s="311">
        <f t="shared" si="4"/>
        <v>14475</v>
      </c>
      <c r="G27" s="309">
        <f t="shared" si="5"/>
        <v>4343</v>
      </c>
      <c r="H27" s="309">
        <f t="shared" si="6"/>
        <v>10132</v>
      </c>
      <c r="I27" s="309">
        <f t="shared" si="7"/>
        <v>3040</v>
      </c>
      <c r="J27" s="311">
        <f t="shared" si="8"/>
        <v>7092</v>
      </c>
      <c r="K27" s="312">
        <f t="shared" si="9"/>
        <v>2128</v>
      </c>
      <c r="L27" s="311">
        <f t="shared" si="10"/>
        <v>4964</v>
      </c>
    </row>
    <row r="28" spans="1:12">
      <c r="A28" s="308" t="s">
        <v>278</v>
      </c>
      <c r="B28" s="309">
        <v>29410</v>
      </c>
      <c r="C28" s="309">
        <f t="shared" si="1"/>
        <v>8823</v>
      </c>
      <c r="D28" s="309">
        <f t="shared" si="2"/>
        <v>20587</v>
      </c>
      <c r="E28" s="309">
        <f t="shared" si="3"/>
        <v>6176</v>
      </c>
      <c r="F28" s="311">
        <f t="shared" si="4"/>
        <v>14411</v>
      </c>
      <c r="G28" s="309">
        <f t="shared" si="5"/>
        <v>4323</v>
      </c>
      <c r="H28" s="309">
        <f t="shared" si="6"/>
        <v>10088</v>
      </c>
      <c r="I28" s="309">
        <f t="shared" si="7"/>
        <v>3026</v>
      </c>
      <c r="J28" s="311">
        <f t="shared" si="8"/>
        <v>7062</v>
      </c>
      <c r="K28" s="312">
        <f t="shared" si="9"/>
        <v>2119</v>
      </c>
      <c r="L28" s="311">
        <f t="shared" si="10"/>
        <v>4943</v>
      </c>
    </row>
    <row r="29" spans="1:12">
      <c r="A29" s="308" t="s">
        <v>279</v>
      </c>
      <c r="B29" s="309">
        <v>28295</v>
      </c>
      <c r="C29" s="309">
        <f t="shared" si="1"/>
        <v>8489</v>
      </c>
      <c r="D29" s="309">
        <f t="shared" si="2"/>
        <v>19806</v>
      </c>
      <c r="E29" s="309">
        <f t="shared" si="3"/>
        <v>5942</v>
      </c>
      <c r="F29" s="311">
        <f t="shared" si="4"/>
        <v>13864</v>
      </c>
      <c r="G29" s="309">
        <f t="shared" si="5"/>
        <v>4159</v>
      </c>
      <c r="H29" s="309">
        <f t="shared" si="6"/>
        <v>9705</v>
      </c>
      <c r="I29" s="309">
        <f t="shared" si="7"/>
        <v>2912</v>
      </c>
      <c r="J29" s="311">
        <f t="shared" si="8"/>
        <v>6793</v>
      </c>
      <c r="K29" s="312">
        <f t="shared" si="9"/>
        <v>2038</v>
      </c>
      <c r="L29" s="311">
        <f t="shared" si="10"/>
        <v>4755</v>
      </c>
    </row>
    <row r="30" spans="1:12">
      <c r="A30" s="308" t="s">
        <v>280</v>
      </c>
      <c r="B30" s="309">
        <v>28492</v>
      </c>
      <c r="C30" s="309">
        <f t="shared" si="1"/>
        <v>8548</v>
      </c>
      <c r="D30" s="309">
        <f t="shared" si="2"/>
        <v>19944</v>
      </c>
      <c r="E30" s="309">
        <f t="shared" si="3"/>
        <v>5983</v>
      </c>
      <c r="F30" s="311">
        <f t="shared" si="4"/>
        <v>13961</v>
      </c>
      <c r="G30" s="309">
        <f t="shared" si="5"/>
        <v>4188</v>
      </c>
      <c r="H30" s="309">
        <f t="shared" si="6"/>
        <v>9773</v>
      </c>
      <c r="I30" s="309">
        <f t="shared" si="7"/>
        <v>2932</v>
      </c>
      <c r="J30" s="311">
        <f t="shared" si="8"/>
        <v>6841</v>
      </c>
      <c r="K30" s="312">
        <f t="shared" si="9"/>
        <v>2052</v>
      </c>
      <c r="L30" s="311">
        <f t="shared" si="10"/>
        <v>4789</v>
      </c>
    </row>
    <row r="31" spans="1:12">
      <c r="A31" s="308" t="s">
        <v>281</v>
      </c>
      <c r="B31" s="309">
        <v>28566</v>
      </c>
      <c r="C31" s="309">
        <f t="shared" si="1"/>
        <v>8570</v>
      </c>
      <c r="D31" s="309">
        <f t="shared" si="2"/>
        <v>19996</v>
      </c>
      <c r="E31" s="309">
        <f t="shared" si="3"/>
        <v>5999</v>
      </c>
      <c r="F31" s="311">
        <f t="shared" si="4"/>
        <v>13997</v>
      </c>
      <c r="G31" s="309">
        <f t="shared" si="5"/>
        <v>4199</v>
      </c>
      <c r="H31" s="309">
        <f t="shared" si="6"/>
        <v>9798</v>
      </c>
      <c r="I31" s="309">
        <f t="shared" si="7"/>
        <v>2939</v>
      </c>
      <c r="J31" s="311">
        <f t="shared" si="8"/>
        <v>6859</v>
      </c>
      <c r="K31" s="312">
        <f t="shared" si="9"/>
        <v>2058</v>
      </c>
      <c r="L31" s="311">
        <f t="shared" si="10"/>
        <v>4801</v>
      </c>
    </row>
    <row r="32" spans="1:12">
      <c r="A32" s="308" t="s">
        <v>282</v>
      </c>
      <c r="B32" s="309">
        <v>26507</v>
      </c>
      <c r="C32" s="309">
        <f t="shared" si="1"/>
        <v>7952</v>
      </c>
      <c r="D32" s="309">
        <f t="shared" si="2"/>
        <v>18555</v>
      </c>
      <c r="E32" s="309">
        <f t="shared" si="3"/>
        <v>5567</v>
      </c>
      <c r="F32" s="311">
        <f t="shared" si="4"/>
        <v>12988</v>
      </c>
      <c r="G32" s="309">
        <f t="shared" si="5"/>
        <v>3896</v>
      </c>
      <c r="H32" s="309">
        <f t="shared" si="6"/>
        <v>9092</v>
      </c>
      <c r="I32" s="309">
        <f t="shared" si="7"/>
        <v>2728</v>
      </c>
      <c r="J32" s="311">
        <f t="shared" si="8"/>
        <v>6364</v>
      </c>
      <c r="K32" s="312">
        <f t="shared" si="9"/>
        <v>1909</v>
      </c>
      <c r="L32" s="311">
        <f t="shared" si="10"/>
        <v>4455</v>
      </c>
    </row>
    <row r="33" spans="1:12">
      <c r="A33" s="308" t="s">
        <v>283</v>
      </c>
      <c r="B33" s="309">
        <v>25656</v>
      </c>
      <c r="C33" s="309">
        <f t="shared" si="1"/>
        <v>7697</v>
      </c>
      <c r="D33" s="309">
        <f t="shared" si="2"/>
        <v>17959</v>
      </c>
      <c r="E33" s="309">
        <f t="shared" si="3"/>
        <v>5388</v>
      </c>
      <c r="F33" s="311">
        <f t="shared" si="4"/>
        <v>12571</v>
      </c>
      <c r="G33" s="309">
        <f t="shared" si="5"/>
        <v>3771</v>
      </c>
      <c r="H33" s="309">
        <f t="shared" si="6"/>
        <v>8800</v>
      </c>
      <c r="I33" s="309">
        <f t="shared" si="7"/>
        <v>2640</v>
      </c>
      <c r="J33" s="311">
        <f t="shared" si="8"/>
        <v>6160</v>
      </c>
      <c r="K33" s="312">
        <f t="shared" si="9"/>
        <v>1848</v>
      </c>
      <c r="L33" s="311">
        <f t="shared" si="10"/>
        <v>4312</v>
      </c>
    </row>
    <row r="34" spans="1:12">
      <c r="A34" s="308" t="s">
        <v>284</v>
      </c>
      <c r="B34" s="309">
        <v>25200</v>
      </c>
      <c r="C34" s="309">
        <f t="shared" si="1"/>
        <v>7560</v>
      </c>
      <c r="D34" s="309">
        <f t="shared" si="2"/>
        <v>17640</v>
      </c>
      <c r="E34" s="309">
        <f t="shared" si="3"/>
        <v>5292</v>
      </c>
      <c r="F34" s="311">
        <f t="shared" si="4"/>
        <v>12348</v>
      </c>
      <c r="G34" s="309">
        <f t="shared" si="5"/>
        <v>3704</v>
      </c>
      <c r="H34" s="309">
        <f t="shared" si="6"/>
        <v>8644</v>
      </c>
      <c r="I34" s="309">
        <f t="shared" si="7"/>
        <v>2593</v>
      </c>
      <c r="J34" s="311">
        <f t="shared" si="8"/>
        <v>6051</v>
      </c>
      <c r="K34" s="312">
        <f t="shared" si="9"/>
        <v>1815</v>
      </c>
      <c r="L34" s="311">
        <f t="shared" si="10"/>
        <v>4236</v>
      </c>
    </row>
    <row r="35" spans="1:12">
      <c r="A35" s="308" t="s">
        <v>285</v>
      </c>
      <c r="B35" s="309">
        <v>24571</v>
      </c>
      <c r="C35" s="309">
        <f t="shared" si="1"/>
        <v>7371</v>
      </c>
      <c r="D35" s="309">
        <f t="shared" si="2"/>
        <v>17200</v>
      </c>
      <c r="E35" s="309">
        <f t="shared" si="3"/>
        <v>5160</v>
      </c>
      <c r="F35" s="311">
        <f t="shared" si="4"/>
        <v>12040</v>
      </c>
      <c r="G35" s="309">
        <f t="shared" si="5"/>
        <v>3612</v>
      </c>
      <c r="H35" s="309">
        <f t="shared" si="6"/>
        <v>8428</v>
      </c>
      <c r="I35" s="309">
        <f t="shared" si="7"/>
        <v>2528</v>
      </c>
      <c r="J35" s="311">
        <f t="shared" si="8"/>
        <v>5900</v>
      </c>
      <c r="K35" s="312">
        <f t="shared" si="9"/>
        <v>1770</v>
      </c>
      <c r="L35" s="311">
        <f t="shared" si="10"/>
        <v>4130</v>
      </c>
    </row>
    <row r="36" spans="1:12">
      <c r="A36" s="308" t="s">
        <v>286</v>
      </c>
      <c r="B36" s="309">
        <v>24172</v>
      </c>
      <c r="C36" s="309">
        <f t="shared" si="1"/>
        <v>7252</v>
      </c>
      <c r="D36" s="309">
        <f t="shared" si="2"/>
        <v>16920</v>
      </c>
      <c r="E36" s="309">
        <f t="shared" si="3"/>
        <v>5076</v>
      </c>
      <c r="F36" s="311">
        <f t="shared" si="4"/>
        <v>11844</v>
      </c>
      <c r="G36" s="309">
        <f t="shared" si="5"/>
        <v>3553</v>
      </c>
      <c r="H36" s="309">
        <f t="shared" si="6"/>
        <v>8291</v>
      </c>
      <c r="I36" s="309">
        <f t="shared" si="7"/>
        <v>2487</v>
      </c>
      <c r="J36" s="311">
        <f t="shared" si="8"/>
        <v>5804</v>
      </c>
      <c r="K36" s="312">
        <f t="shared" si="9"/>
        <v>1741</v>
      </c>
      <c r="L36" s="311">
        <f t="shared" si="10"/>
        <v>4063</v>
      </c>
    </row>
    <row r="37" spans="1:12">
      <c r="A37" s="308" t="s">
        <v>287</v>
      </c>
      <c r="B37" s="309">
        <v>24031</v>
      </c>
      <c r="C37" s="309">
        <f t="shared" si="1"/>
        <v>7209</v>
      </c>
      <c r="D37" s="309">
        <f t="shared" si="2"/>
        <v>16822</v>
      </c>
      <c r="E37" s="309">
        <f t="shared" si="3"/>
        <v>5047</v>
      </c>
      <c r="F37" s="311">
        <f t="shared" si="4"/>
        <v>11775</v>
      </c>
      <c r="G37" s="309">
        <f t="shared" si="5"/>
        <v>3533</v>
      </c>
      <c r="H37" s="309">
        <f t="shared" si="6"/>
        <v>8242</v>
      </c>
      <c r="I37" s="309">
        <f t="shared" si="7"/>
        <v>2473</v>
      </c>
      <c r="J37" s="311">
        <f t="shared" si="8"/>
        <v>5769</v>
      </c>
      <c r="K37" s="312">
        <f t="shared" si="9"/>
        <v>1731</v>
      </c>
      <c r="L37" s="311">
        <f t="shared" si="10"/>
        <v>4038</v>
      </c>
    </row>
    <row r="38" spans="1:12">
      <c r="A38" s="308" t="s">
        <v>288</v>
      </c>
      <c r="B38" s="309">
        <v>24676</v>
      </c>
      <c r="C38" s="309">
        <f t="shared" si="1"/>
        <v>7403</v>
      </c>
      <c r="D38" s="309">
        <f t="shared" si="2"/>
        <v>17273</v>
      </c>
      <c r="E38" s="309">
        <f t="shared" si="3"/>
        <v>5182</v>
      </c>
      <c r="F38" s="311">
        <f t="shared" si="4"/>
        <v>12091</v>
      </c>
      <c r="G38" s="309">
        <f t="shared" si="5"/>
        <v>3627</v>
      </c>
      <c r="H38" s="309">
        <f t="shared" si="6"/>
        <v>8464</v>
      </c>
      <c r="I38" s="309">
        <f t="shared" si="7"/>
        <v>2539</v>
      </c>
      <c r="J38" s="311">
        <f t="shared" si="8"/>
        <v>5925</v>
      </c>
      <c r="K38" s="312">
        <f t="shared" si="9"/>
        <v>1778</v>
      </c>
      <c r="L38" s="311">
        <f t="shared" si="10"/>
        <v>4147</v>
      </c>
    </row>
    <row r="39" spans="1:12">
      <c r="A39" s="308" t="s">
        <v>289</v>
      </c>
      <c r="B39" s="309">
        <v>25100</v>
      </c>
      <c r="C39" s="309">
        <f t="shared" si="1"/>
        <v>7530</v>
      </c>
      <c r="D39" s="309">
        <f t="shared" si="2"/>
        <v>17570</v>
      </c>
      <c r="E39" s="309">
        <f t="shared" si="3"/>
        <v>5271</v>
      </c>
      <c r="F39" s="311">
        <f t="shared" si="4"/>
        <v>12299</v>
      </c>
      <c r="G39" s="309">
        <f t="shared" si="5"/>
        <v>3690</v>
      </c>
      <c r="H39" s="309">
        <f t="shared" si="6"/>
        <v>8609</v>
      </c>
      <c r="I39" s="309">
        <f t="shared" si="7"/>
        <v>2583</v>
      </c>
      <c r="J39" s="311">
        <f t="shared" si="8"/>
        <v>6026</v>
      </c>
      <c r="K39" s="312">
        <f t="shared" si="9"/>
        <v>1808</v>
      </c>
      <c r="L39" s="311">
        <f t="shared" si="10"/>
        <v>4218</v>
      </c>
    </row>
    <row r="40" spans="1:12">
      <c r="A40" s="308" t="s">
        <v>290</v>
      </c>
      <c r="B40" s="309">
        <v>25245</v>
      </c>
      <c r="C40" s="309">
        <f t="shared" si="1"/>
        <v>7574</v>
      </c>
      <c r="D40" s="309">
        <f t="shared" si="2"/>
        <v>17671</v>
      </c>
      <c r="E40" s="309">
        <f t="shared" si="3"/>
        <v>5301</v>
      </c>
      <c r="F40" s="311">
        <f t="shared" si="4"/>
        <v>12370</v>
      </c>
      <c r="G40" s="309">
        <f t="shared" si="5"/>
        <v>3711</v>
      </c>
      <c r="H40" s="309">
        <f t="shared" si="6"/>
        <v>8659</v>
      </c>
      <c r="I40" s="309">
        <f t="shared" si="7"/>
        <v>2598</v>
      </c>
      <c r="J40" s="311">
        <f t="shared" si="8"/>
        <v>6061</v>
      </c>
      <c r="K40" s="312">
        <f t="shared" si="9"/>
        <v>1818</v>
      </c>
      <c r="L40" s="311">
        <f t="shared" si="10"/>
        <v>4243</v>
      </c>
    </row>
    <row r="41" spans="1:12">
      <c r="A41" s="308" t="s">
        <v>291</v>
      </c>
      <c r="B41" s="309">
        <v>25224</v>
      </c>
      <c r="C41" s="309">
        <f t="shared" si="1"/>
        <v>7567</v>
      </c>
      <c r="D41" s="309">
        <f t="shared" si="2"/>
        <v>17657</v>
      </c>
      <c r="E41" s="309">
        <f t="shared" si="3"/>
        <v>5297</v>
      </c>
      <c r="F41" s="311">
        <f t="shared" si="4"/>
        <v>12360</v>
      </c>
      <c r="G41" s="309">
        <f t="shared" si="5"/>
        <v>3708</v>
      </c>
      <c r="H41" s="309">
        <f t="shared" si="6"/>
        <v>8652</v>
      </c>
      <c r="I41" s="309">
        <f t="shared" si="7"/>
        <v>2596</v>
      </c>
      <c r="J41" s="311">
        <f t="shared" si="8"/>
        <v>6056</v>
      </c>
      <c r="K41" s="312">
        <f t="shared" si="9"/>
        <v>1817</v>
      </c>
      <c r="L41" s="311">
        <f t="shared" si="10"/>
        <v>4239</v>
      </c>
    </row>
    <row r="42" spans="1:12">
      <c r="A42" s="308" t="s">
        <v>292</v>
      </c>
      <c r="B42" s="309">
        <v>25867</v>
      </c>
      <c r="C42" s="309">
        <f t="shared" si="1"/>
        <v>7760</v>
      </c>
      <c r="D42" s="309">
        <f t="shared" si="2"/>
        <v>18107</v>
      </c>
      <c r="E42" s="309">
        <f t="shared" si="3"/>
        <v>5432</v>
      </c>
      <c r="F42" s="311">
        <f t="shared" si="4"/>
        <v>12675</v>
      </c>
      <c r="G42" s="309">
        <f t="shared" si="5"/>
        <v>3803</v>
      </c>
      <c r="H42" s="309">
        <f t="shared" si="6"/>
        <v>8872</v>
      </c>
      <c r="I42" s="309">
        <f t="shared" si="7"/>
        <v>2662</v>
      </c>
      <c r="J42" s="311">
        <f t="shared" si="8"/>
        <v>6210</v>
      </c>
      <c r="K42" s="312">
        <f t="shared" si="9"/>
        <v>1863</v>
      </c>
      <c r="L42" s="311">
        <f t="shared" si="10"/>
        <v>4347</v>
      </c>
    </row>
    <row r="43" spans="1:12">
      <c r="A43" s="308" t="s">
        <v>293</v>
      </c>
      <c r="B43" s="309">
        <v>26317</v>
      </c>
      <c r="C43" s="309">
        <f t="shared" si="1"/>
        <v>7895</v>
      </c>
      <c r="D43" s="309">
        <f t="shared" si="2"/>
        <v>18422</v>
      </c>
      <c r="E43" s="309">
        <f t="shared" si="3"/>
        <v>5527</v>
      </c>
      <c r="F43" s="311">
        <f t="shared" si="4"/>
        <v>12895</v>
      </c>
      <c r="G43" s="309">
        <f t="shared" si="5"/>
        <v>3869</v>
      </c>
      <c r="H43" s="309">
        <f t="shared" si="6"/>
        <v>9026</v>
      </c>
      <c r="I43" s="309">
        <f t="shared" si="7"/>
        <v>2708</v>
      </c>
      <c r="J43" s="311">
        <f t="shared" si="8"/>
        <v>6318</v>
      </c>
      <c r="K43" s="312">
        <f t="shared" si="9"/>
        <v>1895</v>
      </c>
      <c r="L43" s="311">
        <f t="shared" si="10"/>
        <v>4423</v>
      </c>
    </row>
    <row r="44" spans="1:12">
      <c r="A44" s="308" t="s">
        <v>294</v>
      </c>
      <c r="B44" s="309">
        <v>25696</v>
      </c>
      <c r="C44" s="309">
        <f t="shared" si="1"/>
        <v>7709</v>
      </c>
      <c r="D44" s="309">
        <f t="shared" si="2"/>
        <v>17987</v>
      </c>
      <c r="E44" s="309">
        <f t="shared" si="3"/>
        <v>5396</v>
      </c>
      <c r="F44" s="311">
        <f t="shared" si="4"/>
        <v>12591</v>
      </c>
      <c r="G44" s="309">
        <f t="shared" si="5"/>
        <v>3777</v>
      </c>
      <c r="H44" s="309">
        <f t="shared" si="6"/>
        <v>8814</v>
      </c>
      <c r="I44" s="309">
        <f t="shared" si="7"/>
        <v>2644</v>
      </c>
      <c r="J44" s="311">
        <f t="shared" si="8"/>
        <v>6170</v>
      </c>
      <c r="K44" s="312">
        <f t="shared" si="9"/>
        <v>1851</v>
      </c>
      <c r="L44" s="311">
        <f t="shared" si="10"/>
        <v>4319</v>
      </c>
    </row>
    <row r="45" spans="1:12">
      <c r="A45" s="308" t="s">
        <v>295</v>
      </c>
      <c r="B45" s="309">
        <v>25049</v>
      </c>
      <c r="C45" s="309">
        <f t="shared" si="1"/>
        <v>7515</v>
      </c>
      <c r="D45" s="309">
        <f t="shared" si="2"/>
        <v>17534</v>
      </c>
      <c r="E45" s="309">
        <f t="shared" si="3"/>
        <v>5260</v>
      </c>
      <c r="F45" s="311">
        <f t="shared" si="4"/>
        <v>12274</v>
      </c>
      <c r="G45" s="309">
        <f t="shared" si="5"/>
        <v>3682</v>
      </c>
      <c r="H45" s="309">
        <f t="shared" si="6"/>
        <v>8592</v>
      </c>
      <c r="I45" s="309">
        <f t="shared" si="7"/>
        <v>2578</v>
      </c>
      <c r="J45" s="311">
        <f t="shared" si="8"/>
        <v>6014</v>
      </c>
      <c r="K45" s="312">
        <f t="shared" si="9"/>
        <v>1804</v>
      </c>
      <c r="L45" s="311">
        <f t="shared" si="10"/>
        <v>4210</v>
      </c>
    </row>
    <row r="46" spans="1:12">
      <c r="A46" s="308" t="s">
        <v>296</v>
      </c>
      <c r="B46" s="309">
        <v>24994</v>
      </c>
      <c r="C46" s="309">
        <f t="shared" si="1"/>
        <v>7498</v>
      </c>
      <c r="D46" s="309">
        <f t="shared" si="2"/>
        <v>17496</v>
      </c>
      <c r="E46" s="309">
        <f t="shared" si="3"/>
        <v>5249</v>
      </c>
      <c r="F46" s="311">
        <f t="shared" si="4"/>
        <v>12247</v>
      </c>
      <c r="G46" s="309">
        <f t="shared" si="5"/>
        <v>3674</v>
      </c>
      <c r="H46" s="309">
        <f t="shared" si="6"/>
        <v>8573</v>
      </c>
      <c r="I46" s="309">
        <f t="shared" si="7"/>
        <v>2572</v>
      </c>
      <c r="J46" s="311">
        <f t="shared" si="8"/>
        <v>6001</v>
      </c>
      <c r="K46" s="312">
        <f t="shared" si="9"/>
        <v>1800</v>
      </c>
      <c r="L46" s="311">
        <f t="shared" si="10"/>
        <v>4201</v>
      </c>
    </row>
    <row r="47" spans="1:12">
      <c r="A47" s="308" t="s">
        <v>297</v>
      </c>
      <c r="B47" s="309">
        <v>24832</v>
      </c>
      <c r="C47" s="309">
        <f t="shared" si="1"/>
        <v>7450</v>
      </c>
      <c r="D47" s="309">
        <f t="shared" si="2"/>
        <v>17382</v>
      </c>
      <c r="E47" s="309">
        <f t="shared" si="3"/>
        <v>5215</v>
      </c>
      <c r="F47" s="311">
        <f t="shared" si="4"/>
        <v>12167</v>
      </c>
      <c r="G47" s="309">
        <f t="shared" si="5"/>
        <v>3650</v>
      </c>
      <c r="H47" s="309">
        <f t="shared" si="6"/>
        <v>8517</v>
      </c>
      <c r="I47" s="309">
        <f t="shared" si="7"/>
        <v>2555</v>
      </c>
      <c r="J47" s="311">
        <f t="shared" si="8"/>
        <v>5962</v>
      </c>
      <c r="K47" s="312">
        <f t="shared" si="9"/>
        <v>1789</v>
      </c>
      <c r="L47" s="311">
        <f t="shared" si="10"/>
        <v>4173</v>
      </c>
    </row>
    <row r="48" spans="1:12">
      <c r="A48" s="308" t="s">
        <v>298</v>
      </c>
      <c r="B48" s="309">
        <v>24883</v>
      </c>
      <c r="C48" s="309">
        <f t="shared" si="1"/>
        <v>7465</v>
      </c>
      <c r="D48" s="309">
        <f t="shared" si="2"/>
        <v>17418</v>
      </c>
      <c r="E48" s="309">
        <f t="shared" si="3"/>
        <v>5225</v>
      </c>
      <c r="F48" s="311">
        <f t="shared" si="4"/>
        <v>12193</v>
      </c>
      <c r="G48" s="309">
        <f t="shared" si="5"/>
        <v>3658</v>
      </c>
      <c r="H48" s="309">
        <f t="shared" si="6"/>
        <v>8535</v>
      </c>
      <c r="I48" s="309">
        <f t="shared" si="7"/>
        <v>2561</v>
      </c>
      <c r="J48" s="311">
        <f t="shared" si="8"/>
        <v>5974</v>
      </c>
      <c r="K48" s="312">
        <f t="shared" si="9"/>
        <v>1792</v>
      </c>
      <c r="L48" s="311">
        <f t="shared" si="10"/>
        <v>4182</v>
      </c>
    </row>
    <row r="49" spans="1:12">
      <c r="A49" s="308" t="s">
        <v>299</v>
      </c>
      <c r="B49" s="309">
        <v>24168</v>
      </c>
      <c r="C49" s="309">
        <f t="shared" si="1"/>
        <v>7250</v>
      </c>
      <c r="D49" s="309">
        <f t="shared" si="2"/>
        <v>16918</v>
      </c>
      <c r="E49" s="309">
        <f t="shared" si="3"/>
        <v>5075</v>
      </c>
      <c r="F49" s="311">
        <f t="shared" si="4"/>
        <v>11843</v>
      </c>
      <c r="G49" s="309">
        <f t="shared" si="5"/>
        <v>3553</v>
      </c>
      <c r="H49" s="309">
        <f t="shared" si="6"/>
        <v>8290</v>
      </c>
      <c r="I49" s="309">
        <f t="shared" si="7"/>
        <v>2487</v>
      </c>
      <c r="J49" s="311">
        <f t="shared" si="8"/>
        <v>5803</v>
      </c>
      <c r="K49" s="312">
        <f t="shared" si="9"/>
        <v>1741</v>
      </c>
      <c r="L49" s="311">
        <f t="shared" si="10"/>
        <v>4062</v>
      </c>
    </row>
    <row r="50" spans="1:12">
      <c r="A50" s="308" t="s">
        <v>300</v>
      </c>
      <c r="B50" s="309">
        <v>25349</v>
      </c>
      <c r="C50" s="309">
        <f t="shared" si="1"/>
        <v>7605</v>
      </c>
      <c r="D50" s="309">
        <f t="shared" si="2"/>
        <v>17744</v>
      </c>
      <c r="E50" s="309">
        <f t="shared" si="3"/>
        <v>5323</v>
      </c>
      <c r="F50" s="311">
        <f t="shared" si="4"/>
        <v>12421</v>
      </c>
      <c r="G50" s="309">
        <f t="shared" si="5"/>
        <v>3726</v>
      </c>
      <c r="H50" s="309">
        <f t="shared" si="6"/>
        <v>8695</v>
      </c>
      <c r="I50" s="309">
        <f t="shared" si="7"/>
        <v>2609</v>
      </c>
      <c r="J50" s="311">
        <f t="shared" si="8"/>
        <v>6086</v>
      </c>
      <c r="K50" s="312">
        <f t="shared" si="9"/>
        <v>1826</v>
      </c>
      <c r="L50" s="311">
        <f t="shared" si="10"/>
        <v>4260</v>
      </c>
    </row>
    <row r="51" spans="1:12">
      <c r="A51" s="308" t="s">
        <v>301</v>
      </c>
      <c r="B51" s="309">
        <v>25939</v>
      </c>
      <c r="C51" s="309">
        <f t="shared" si="1"/>
        <v>7782</v>
      </c>
      <c r="D51" s="309">
        <f t="shared" si="2"/>
        <v>18157</v>
      </c>
      <c r="E51" s="309">
        <f t="shared" si="3"/>
        <v>5447</v>
      </c>
      <c r="F51" s="311">
        <f t="shared" si="4"/>
        <v>12710</v>
      </c>
      <c r="G51" s="309">
        <f t="shared" si="5"/>
        <v>3813</v>
      </c>
      <c r="H51" s="309">
        <f t="shared" si="6"/>
        <v>8897</v>
      </c>
      <c r="I51" s="309">
        <f t="shared" si="7"/>
        <v>2669</v>
      </c>
      <c r="J51" s="311">
        <f t="shared" si="8"/>
        <v>6228</v>
      </c>
      <c r="K51" s="312">
        <f t="shared" si="9"/>
        <v>1868</v>
      </c>
      <c r="L51" s="311">
        <f t="shared" si="10"/>
        <v>4360</v>
      </c>
    </row>
    <row r="52" spans="1:12">
      <c r="A52" s="308" t="s">
        <v>302</v>
      </c>
      <c r="B52" s="309">
        <v>26705</v>
      </c>
      <c r="C52" s="309">
        <f t="shared" si="1"/>
        <v>8012</v>
      </c>
      <c r="D52" s="309">
        <f t="shared" si="2"/>
        <v>18693</v>
      </c>
      <c r="E52" s="309">
        <f t="shared" si="3"/>
        <v>5608</v>
      </c>
      <c r="F52" s="311">
        <f t="shared" si="4"/>
        <v>13085</v>
      </c>
      <c r="G52" s="309">
        <f t="shared" si="5"/>
        <v>3926</v>
      </c>
      <c r="H52" s="309">
        <f t="shared" si="6"/>
        <v>9159</v>
      </c>
      <c r="I52" s="309">
        <f t="shared" si="7"/>
        <v>2748</v>
      </c>
      <c r="J52" s="311">
        <f t="shared" si="8"/>
        <v>6411</v>
      </c>
      <c r="K52" s="312">
        <f t="shared" si="9"/>
        <v>1923</v>
      </c>
      <c r="L52" s="311">
        <f t="shared" si="10"/>
        <v>4488</v>
      </c>
    </row>
    <row r="53" spans="1:12">
      <c r="A53" s="308" t="s">
        <v>303</v>
      </c>
      <c r="B53" s="309">
        <v>27242</v>
      </c>
      <c r="C53" s="309">
        <f t="shared" si="1"/>
        <v>8173</v>
      </c>
      <c r="D53" s="309">
        <f t="shared" si="2"/>
        <v>19069</v>
      </c>
      <c r="E53" s="309">
        <f t="shared" si="3"/>
        <v>5721</v>
      </c>
      <c r="F53" s="311">
        <f t="shared" si="4"/>
        <v>13348</v>
      </c>
      <c r="G53" s="309">
        <f t="shared" si="5"/>
        <v>4004</v>
      </c>
      <c r="H53" s="309">
        <f t="shared" si="6"/>
        <v>9344</v>
      </c>
      <c r="I53" s="309">
        <f t="shared" si="7"/>
        <v>2803</v>
      </c>
      <c r="J53" s="311">
        <f t="shared" si="8"/>
        <v>6541</v>
      </c>
      <c r="K53" s="312">
        <f t="shared" si="9"/>
        <v>1962</v>
      </c>
      <c r="L53" s="311">
        <f t="shared" si="10"/>
        <v>4579</v>
      </c>
    </row>
    <row r="54" spans="1:12">
      <c r="A54" s="308" t="s">
        <v>304</v>
      </c>
      <c r="B54" s="309">
        <v>26983</v>
      </c>
      <c r="C54" s="309">
        <f t="shared" si="1"/>
        <v>8095</v>
      </c>
      <c r="D54" s="309">
        <f t="shared" si="2"/>
        <v>18888</v>
      </c>
      <c r="E54" s="309">
        <f t="shared" si="3"/>
        <v>5666</v>
      </c>
      <c r="F54" s="311">
        <f t="shared" si="4"/>
        <v>13222</v>
      </c>
      <c r="G54" s="309">
        <f t="shared" si="5"/>
        <v>3967</v>
      </c>
      <c r="H54" s="309">
        <f t="shared" si="6"/>
        <v>9255</v>
      </c>
      <c r="I54" s="309">
        <f t="shared" si="7"/>
        <v>2777</v>
      </c>
      <c r="J54" s="311">
        <f t="shared" si="8"/>
        <v>6478</v>
      </c>
      <c r="K54" s="312">
        <f t="shared" si="9"/>
        <v>1943</v>
      </c>
      <c r="L54" s="311">
        <f t="shared" si="10"/>
        <v>4535</v>
      </c>
    </row>
    <row r="55" spans="1:12">
      <c r="A55" s="308" t="s">
        <v>305</v>
      </c>
      <c r="B55" s="309">
        <v>26404</v>
      </c>
      <c r="C55" s="309">
        <f t="shared" si="1"/>
        <v>7921</v>
      </c>
      <c r="D55" s="309">
        <f t="shared" si="2"/>
        <v>18483</v>
      </c>
      <c r="E55" s="309">
        <f t="shared" si="3"/>
        <v>5545</v>
      </c>
      <c r="F55" s="311">
        <f t="shared" si="4"/>
        <v>12938</v>
      </c>
      <c r="G55" s="309">
        <f t="shared" si="5"/>
        <v>3881</v>
      </c>
      <c r="H55" s="309">
        <f t="shared" si="6"/>
        <v>9057</v>
      </c>
      <c r="I55" s="309">
        <f t="shared" si="7"/>
        <v>2717</v>
      </c>
      <c r="J55" s="311">
        <f t="shared" si="8"/>
        <v>6340</v>
      </c>
      <c r="K55" s="312">
        <f t="shared" si="9"/>
        <v>1902</v>
      </c>
      <c r="L55" s="311">
        <f t="shared" si="10"/>
        <v>4438</v>
      </c>
    </row>
    <row r="56" spans="1:12">
      <c r="A56" s="308" t="s">
        <v>306</v>
      </c>
      <c r="B56" s="309">
        <v>25994</v>
      </c>
      <c r="C56" s="309">
        <f t="shared" si="1"/>
        <v>7798</v>
      </c>
      <c r="D56" s="309">
        <f t="shared" si="2"/>
        <v>18196</v>
      </c>
      <c r="E56" s="309">
        <f t="shared" si="3"/>
        <v>5459</v>
      </c>
      <c r="F56" s="311">
        <f t="shared" si="4"/>
        <v>12737</v>
      </c>
      <c r="G56" s="309">
        <f t="shared" si="5"/>
        <v>3821</v>
      </c>
      <c r="H56" s="309">
        <f t="shared" si="6"/>
        <v>8916</v>
      </c>
      <c r="I56" s="309">
        <f t="shared" si="7"/>
        <v>2675</v>
      </c>
      <c r="J56" s="311">
        <f t="shared" si="8"/>
        <v>6241</v>
      </c>
      <c r="K56" s="312">
        <f t="shared" si="9"/>
        <v>1872</v>
      </c>
      <c r="L56" s="311">
        <f t="shared" si="10"/>
        <v>4369</v>
      </c>
    </row>
    <row r="57" spans="1:12">
      <c r="A57" s="308" t="s">
        <v>307</v>
      </c>
      <c r="B57" s="309">
        <v>24743</v>
      </c>
      <c r="C57" s="309">
        <f t="shared" si="1"/>
        <v>7423</v>
      </c>
      <c r="D57" s="309">
        <f t="shared" si="2"/>
        <v>17320</v>
      </c>
      <c r="E57" s="309">
        <f t="shared" si="3"/>
        <v>5196</v>
      </c>
      <c r="F57" s="311">
        <f t="shared" si="4"/>
        <v>12124</v>
      </c>
      <c r="G57" s="309">
        <f t="shared" si="5"/>
        <v>3637</v>
      </c>
      <c r="H57" s="309">
        <f t="shared" si="6"/>
        <v>8487</v>
      </c>
      <c r="I57" s="309">
        <f t="shared" si="7"/>
        <v>2546</v>
      </c>
      <c r="J57" s="311">
        <f t="shared" si="8"/>
        <v>5941</v>
      </c>
      <c r="K57" s="312">
        <f t="shared" si="9"/>
        <v>1782</v>
      </c>
      <c r="L57" s="311">
        <f t="shared" si="10"/>
        <v>4159</v>
      </c>
    </row>
    <row r="58" spans="1:12">
      <c r="A58" s="308" t="s">
        <v>308</v>
      </c>
      <c r="B58" s="309">
        <v>23208</v>
      </c>
      <c r="C58" s="309">
        <f t="shared" si="1"/>
        <v>6962</v>
      </c>
      <c r="D58" s="309">
        <f t="shared" si="2"/>
        <v>16246</v>
      </c>
      <c r="E58" s="309">
        <f t="shared" si="3"/>
        <v>4874</v>
      </c>
      <c r="F58" s="311">
        <f t="shared" si="4"/>
        <v>11372</v>
      </c>
      <c r="G58" s="309">
        <f t="shared" si="5"/>
        <v>3412</v>
      </c>
      <c r="H58" s="309">
        <f t="shared" si="6"/>
        <v>7960</v>
      </c>
      <c r="I58" s="309">
        <f t="shared" si="7"/>
        <v>2388</v>
      </c>
      <c r="J58" s="311">
        <f t="shared" si="8"/>
        <v>5572</v>
      </c>
      <c r="K58" s="312">
        <f t="shared" si="9"/>
        <v>1672</v>
      </c>
      <c r="L58" s="311">
        <f t="shared" si="10"/>
        <v>3900</v>
      </c>
    </row>
    <row r="59" spans="1:12">
      <c r="A59" s="308" t="s">
        <v>309</v>
      </c>
      <c r="B59" s="309">
        <v>22647</v>
      </c>
      <c r="C59" s="309">
        <f t="shared" si="1"/>
        <v>6794</v>
      </c>
      <c r="D59" s="309">
        <f t="shared" si="2"/>
        <v>15853</v>
      </c>
      <c r="E59" s="309">
        <f t="shared" si="3"/>
        <v>4756</v>
      </c>
      <c r="F59" s="311">
        <f t="shared" si="4"/>
        <v>11097</v>
      </c>
      <c r="G59" s="309">
        <f t="shared" si="5"/>
        <v>3329</v>
      </c>
      <c r="H59" s="309">
        <f t="shared" si="6"/>
        <v>7768</v>
      </c>
      <c r="I59" s="309">
        <f t="shared" si="7"/>
        <v>2330</v>
      </c>
      <c r="J59" s="311">
        <f t="shared" si="8"/>
        <v>5438</v>
      </c>
      <c r="K59" s="312">
        <f t="shared" si="9"/>
        <v>1631</v>
      </c>
      <c r="L59" s="311">
        <f t="shared" si="10"/>
        <v>3807</v>
      </c>
    </row>
    <row r="60" spans="1:12">
      <c r="A60" s="308" t="s">
        <v>310</v>
      </c>
      <c r="B60" s="309">
        <v>21524</v>
      </c>
      <c r="C60" s="309">
        <f t="shared" si="1"/>
        <v>6457</v>
      </c>
      <c r="D60" s="309">
        <f t="shared" si="2"/>
        <v>15067</v>
      </c>
      <c r="E60" s="309">
        <f t="shared" si="3"/>
        <v>4520</v>
      </c>
      <c r="F60" s="311">
        <f t="shared" si="4"/>
        <v>10547</v>
      </c>
      <c r="G60" s="309">
        <f t="shared" si="5"/>
        <v>3164</v>
      </c>
      <c r="H60" s="309">
        <f t="shared" si="6"/>
        <v>7383</v>
      </c>
      <c r="I60" s="309">
        <f t="shared" si="7"/>
        <v>2215</v>
      </c>
      <c r="J60" s="311">
        <f t="shared" si="8"/>
        <v>5168</v>
      </c>
      <c r="K60" s="312">
        <f t="shared" si="9"/>
        <v>1550</v>
      </c>
      <c r="L60" s="311">
        <f t="shared" si="10"/>
        <v>3618</v>
      </c>
    </row>
    <row r="61" spans="1:12">
      <c r="A61" s="308" t="s">
        <v>311</v>
      </c>
      <c r="B61" s="309">
        <v>19400</v>
      </c>
      <c r="C61" s="309">
        <f t="shared" si="1"/>
        <v>5820</v>
      </c>
      <c r="D61" s="309">
        <f t="shared" si="2"/>
        <v>13580</v>
      </c>
      <c r="E61" s="309">
        <f t="shared" si="3"/>
        <v>4074</v>
      </c>
      <c r="F61" s="311">
        <f t="shared" si="4"/>
        <v>9506</v>
      </c>
      <c r="G61" s="309">
        <f t="shared" si="5"/>
        <v>2852</v>
      </c>
      <c r="H61" s="309">
        <f t="shared" si="6"/>
        <v>6654</v>
      </c>
      <c r="I61" s="309">
        <f t="shared" si="7"/>
        <v>1996</v>
      </c>
      <c r="J61" s="311">
        <f t="shared" si="8"/>
        <v>4658</v>
      </c>
      <c r="K61" s="312">
        <f t="shared" si="9"/>
        <v>1397</v>
      </c>
      <c r="L61" s="311">
        <f t="shared" si="10"/>
        <v>3261</v>
      </c>
    </row>
    <row r="62" spans="1:12">
      <c r="A62" s="308" t="s">
        <v>312</v>
      </c>
      <c r="B62" s="309">
        <v>19414</v>
      </c>
      <c r="C62" s="309">
        <f t="shared" si="1"/>
        <v>5824</v>
      </c>
      <c r="D62" s="309">
        <f t="shared" si="2"/>
        <v>13590</v>
      </c>
      <c r="E62" s="309">
        <f t="shared" si="3"/>
        <v>4077</v>
      </c>
      <c r="F62" s="311">
        <f t="shared" si="4"/>
        <v>9513</v>
      </c>
      <c r="G62" s="309">
        <f t="shared" si="5"/>
        <v>2854</v>
      </c>
      <c r="H62" s="309">
        <f t="shared" si="6"/>
        <v>6659</v>
      </c>
      <c r="I62" s="309">
        <f t="shared" si="7"/>
        <v>1998</v>
      </c>
      <c r="J62" s="311">
        <f t="shared" si="8"/>
        <v>4661</v>
      </c>
      <c r="K62" s="312">
        <f t="shared" si="9"/>
        <v>1398</v>
      </c>
      <c r="L62" s="311">
        <f t="shared" si="10"/>
        <v>3263</v>
      </c>
    </row>
    <row r="63" spans="1:12">
      <c r="A63" s="308" t="s">
        <v>313</v>
      </c>
      <c r="B63" s="309">
        <v>18827</v>
      </c>
      <c r="C63" s="309">
        <f t="shared" si="1"/>
        <v>5648</v>
      </c>
      <c r="D63" s="309">
        <f t="shared" si="2"/>
        <v>13179</v>
      </c>
      <c r="E63" s="309">
        <f t="shared" si="3"/>
        <v>3954</v>
      </c>
      <c r="F63" s="311">
        <f t="shared" si="4"/>
        <v>9225</v>
      </c>
      <c r="G63" s="309">
        <f t="shared" si="5"/>
        <v>2768</v>
      </c>
      <c r="H63" s="309">
        <f t="shared" si="6"/>
        <v>6457</v>
      </c>
      <c r="I63" s="309">
        <f t="shared" si="7"/>
        <v>1937</v>
      </c>
      <c r="J63" s="311">
        <f t="shared" si="8"/>
        <v>4520</v>
      </c>
      <c r="K63" s="312">
        <f t="shared" si="9"/>
        <v>1356</v>
      </c>
      <c r="L63" s="311">
        <f t="shared" si="10"/>
        <v>3164</v>
      </c>
    </row>
    <row r="64" spans="1:12">
      <c r="A64" s="308" t="s">
        <v>314</v>
      </c>
      <c r="B64" s="309">
        <v>17791</v>
      </c>
      <c r="C64" s="309">
        <f t="shared" si="1"/>
        <v>5337</v>
      </c>
      <c r="D64" s="309">
        <f t="shared" si="2"/>
        <v>12454</v>
      </c>
      <c r="E64" s="309">
        <f t="shared" si="3"/>
        <v>3736</v>
      </c>
      <c r="F64" s="311">
        <f t="shared" si="4"/>
        <v>8718</v>
      </c>
      <c r="G64" s="309">
        <f t="shared" si="5"/>
        <v>2615</v>
      </c>
      <c r="H64" s="309">
        <f t="shared" si="6"/>
        <v>6103</v>
      </c>
      <c r="I64" s="309">
        <f t="shared" si="7"/>
        <v>1831</v>
      </c>
      <c r="J64" s="311">
        <f t="shared" si="8"/>
        <v>4272</v>
      </c>
      <c r="K64" s="312">
        <f t="shared" si="9"/>
        <v>1282</v>
      </c>
      <c r="L64" s="311">
        <f t="shared" si="10"/>
        <v>2990</v>
      </c>
    </row>
    <row r="65" spans="1:12">
      <c r="A65" s="308" t="s">
        <v>315</v>
      </c>
      <c r="B65" s="309">
        <v>18467</v>
      </c>
      <c r="C65" s="309">
        <f t="shared" si="1"/>
        <v>5540</v>
      </c>
      <c r="D65" s="309">
        <f t="shared" si="2"/>
        <v>12927</v>
      </c>
      <c r="E65" s="309">
        <f t="shared" si="3"/>
        <v>3878</v>
      </c>
      <c r="F65" s="311">
        <f t="shared" si="4"/>
        <v>9049</v>
      </c>
      <c r="G65" s="309">
        <f t="shared" si="5"/>
        <v>2715</v>
      </c>
      <c r="H65" s="309">
        <f t="shared" si="6"/>
        <v>6334</v>
      </c>
      <c r="I65" s="309">
        <f t="shared" si="7"/>
        <v>1900</v>
      </c>
      <c r="J65" s="311">
        <f t="shared" si="8"/>
        <v>4434</v>
      </c>
      <c r="K65" s="312">
        <f t="shared" si="9"/>
        <v>1330</v>
      </c>
      <c r="L65" s="311">
        <f t="shared" si="10"/>
        <v>3104</v>
      </c>
    </row>
  </sheetData>
  <mergeCells count="6">
    <mergeCell ref="A23:B24"/>
    <mergeCell ref="I23:J23"/>
    <mergeCell ref="K23:L23"/>
    <mergeCell ref="C23:D23"/>
    <mergeCell ref="E23:F23"/>
    <mergeCell ref="G23:H23"/>
  </mergeCells>
  <pageMargins left="0.7" right="0.7" top="0.75" bottom="0.75" header="0.3" footer="0.3"/>
  <pageSetup paperSize="9" scale="2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11F9A-8C44-4DFE-9BDA-30D909218698}">
  <sheetPr>
    <tabColor theme="7" tint="0.79998168889431442"/>
  </sheetPr>
  <dimension ref="A1:H29"/>
  <sheetViews>
    <sheetView view="pageBreakPreview" zoomScale="60" zoomScaleNormal="100" workbookViewId="0">
      <selection activeCell="G5" sqref="G5"/>
    </sheetView>
  </sheetViews>
  <sheetFormatPr defaultRowHeight="15"/>
  <cols>
    <col min="1" max="2" width="24.140625" style="257" customWidth="1"/>
    <col min="3" max="3" width="16.5703125" style="257" customWidth="1"/>
    <col min="4" max="4" width="17.85546875" style="257" customWidth="1"/>
    <col min="5" max="5" width="17.140625" style="257" customWidth="1"/>
    <col min="6" max="6" width="17.85546875" style="257" customWidth="1"/>
    <col min="7" max="7" width="14.7109375" style="257" customWidth="1"/>
    <col min="8" max="8" width="18.85546875" style="257" customWidth="1"/>
  </cols>
  <sheetData>
    <row r="1" spans="1:8">
      <c r="B1"/>
      <c r="C1"/>
      <c r="D1"/>
      <c r="H1" s="168" t="s">
        <v>812</v>
      </c>
    </row>
    <row r="2" spans="1:8" ht="15.75">
      <c r="B2"/>
      <c r="C2" s="1066" t="s">
        <v>862</v>
      </c>
      <c r="D2"/>
    </row>
    <row r="3" spans="1:8">
      <c r="B3"/>
      <c r="C3"/>
      <c r="D3"/>
    </row>
    <row r="4" spans="1:8" ht="105">
      <c r="A4" s="256" t="s">
        <v>200</v>
      </c>
      <c r="B4" s="253" t="s">
        <v>227</v>
      </c>
      <c r="C4" s="253" t="s">
        <v>228</v>
      </c>
      <c r="D4" s="253" t="s">
        <v>229</v>
      </c>
      <c r="E4" s="253" t="s">
        <v>1014</v>
      </c>
    </row>
    <row r="5" spans="1:8" ht="47.25" customHeight="1">
      <c r="A5" s="259" t="s">
        <v>82</v>
      </c>
      <c r="B5" s="689">
        <v>0</v>
      </c>
      <c r="C5" s="686">
        <f>H14+E19</f>
        <v>73945.150399999999</v>
      </c>
      <c r="D5" s="254">
        <f>SUM(H14+G19)</f>
        <v>87285.150399999999</v>
      </c>
      <c r="E5" s="254">
        <f>D5</f>
        <v>87285.150399999999</v>
      </c>
    </row>
    <row r="8" spans="1:8">
      <c r="A8" s="258" t="s">
        <v>32</v>
      </c>
      <c r="B8" s="259" t="s">
        <v>316</v>
      </c>
      <c r="C8" s="260" t="s">
        <v>317</v>
      </c>
      <c r="D8" s="260" t="s">
        <v>318</v>
      </c>
      <c r="E8" s="260" t="s">
        <v>319</v>
      </c>
    </row>
    <row r="9" spans="1:8">
      <c r="A9" s="261" t="s">
        <v>320</v>
      </c>
      <c r="B9" s="262">
        <v>2304</v>
      </c>
      <c r="C9" s="263">
        <v>1388</v>
      </c>
      <c r="D9" s="263">
        <v>925</v>
      </c>
      <c r="E9" s="264" t="s">
        <v>32</v>
      </c>
    </row>
    <row r="10" spans="1:8" ht="30">
      <c r="A10" s="261" t="s">
        <v>321</v>
      </c>
      <c r="B10" s="265">
        <f>ROUND(B9/9600,4)</f>
        <v>0.24</v>
      </c>
      <c r="C10" s="265">
        <f>ROUND(C9/9600,4)</f>
        <v>0.14460000000000001</v>
      </c>
      <c r="D10" s="265">
        <f>ROUND(D9/9600,4)</f>
        <v>9.64E-2</v>
      </c>
      <c r="E10" s="264">
        <v>0.2359</v>
      </c>
    </row>
    <row r="12" spans="1:8">
      <c r="A12" s="1057" t="s">
        <v>322</v>
      </c>
      <c r="B12" s="1057"/>
    </row>
    <row r="13" spans="1:8" ht="30">
      <c r="A13" s="1058" t="s">
        <v>323</v>
      </c>
      <c r="B13" s="1058"/>
      <c r="C13" s="1058" t="s">
        <v>324</v>
      </c>
      <c r="D13" s="1058" t="s">
        <v>325</v>
      </c>
      <c r="E13" s="1059" t="s">
        <v>326</v>
      </c>
      <c r="F13" s="1058" t="s">
        <v>327</v>
      </c>
      <c r="G13" s="1059" t="s">
        <v>328</v>
      </c>
      <c r="H13" s="1059" t="s">
        <v>329</v>
      </c>
    </row>
    <row r="14" spans="1:8">
      <c r="A14" s="1060">
        <v>1</v>
      </c>
      <c r="B14" s="1060"/>
      <c r="C14" s="1060">
        <f>C9</f>
        <v>1388</v>
      </c>
      <c r="D14" s="1060">
        <f>ROUND(C14*E10,2)</f>
        <v>327.43</v>
      </c>
      <c r="E14" s="1060">
        <f>C14+D14</f>
        <v>1715.43</v>
      </c>
      <c r="F14" s="1060">
        <f>C14*12</f>
        <v>16656</v>
      </c>
      <c r="G14" s="1060">
        <f>F14*E10</f>
        <v>3929.1504</v>
      </c>
      <c r="H14" s="1060">
        <f>F14+G14</f>
        <v>20585.150399999999</v>
      </c>
    </row>
    <row r="15" spans="1:8">
      <c r="A15" s="257" t="s">
        <v>330</v>
      </c>
    </row>
    <row r="17" spans="1:8">
      <c r="A17" s="1057" t="s">
        <v>331</v>
      </c>
      <c r="B17" s="1057"/>
    </row>
    <row r="18" spans="1:8" s="485" customFormat="1" ht="45">
      <c r="A18" s="1061" t="s">
        <v>332</v>
      </c>
      <c r="B18" s="1061"/>
      <c r="C18" s="1065" t="s">
        <v>333</v>
      </c>
      <c r="D18" s="1065" t="s">
        <v>334</v>
      </c>
      <c r="E18" s="1065" t="s">
        <v>813</v>
      </c>
      <c r="F18" s="1065" t="s">
        <v>336</v>
      </c>
      <c r="G18" s="1065" t="s">
        <v>814</v>
      </c>
      <c r="H18" s="677"/>
    </row>
    <row r="19" spans="1:8">
      <c r="A19" s="440" t="s">
        <v>337</v>
      </c>
      <c r="B19" s="440"/>
      <c r="C19" s="440">
        <v>26.68</v>
      </c>
      <c r="D19" s="1062">
        <v>2000</v>
      </c>
      <c r="E19" s="1063">
        <f>C19*D19</f>
        <v>53360</v>
      </c>
      <c r="F19" s="1062">
        <v>2500</v>
      </c>
      <c r="G19" s="1064">
        <f>SUM(F19*C19)</f>
        <v>66700</v>
      </c>
    </row>
    <row r="20" spans="1:8">
      <c r="A20" s="257" t="s">
        <v>338</v>
      </c>
    </row>
    <row r="29" spans="1:8">
      <c r="C29" s="868"/>
      <c r="G29" s="1057"/>
    </row>
  </sheetData>
  <pageMargins left="0.7" right="0.7" top="0.75" bottom="0.75" header="0.3" footer="0.3"/>
  <pageSetup paperSize="9" scale="57"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174EB-3F1E-4F61-99D9-00312312055F}">
  <sheetPr>
    <tabColor theme="7" tint="0.79998168889431442"/>
  </sheetPr>
  <dimension ref="A1:S32"/>
  <sheetViews>
    <sheetView view="pageBreakPreview" zoomScale="60" zoomScaleNormal="90" workbookViewId="0">
      <selection activeCell="C6" sqref="C6:C7"/>
    </sheetView>
  </sheetViews>
  <sheetFormatPr defaultColWidth="9.140625" defaultRowHeight="15"/>
  <cols>
    <col min="1" max="1" width="24.140625" style="51" customWidth="1"/>
    <col min="2" max="2" width="24.28515625" style="51" customWidth="1"/>
    <col min="3" max="3" width="22.7109375" style="51" customWidth="1"/>
    <col min="4" max="4" width="19" style="51" customWidth="1"/>
    <col min="5" max="5" width="15.28515625" style="51" customWidth="1"/>
    <col min="6" max="6" width="13" style="51" customWidth="1"/>
    <col min="7" max="7" width="12.5703125" style="51" customWidth="1"/>
    <col min="8" max="8" width="15.5703125" style="51" customWidth="1"/>
    <col min="9" max="9" width="17.85546875" style="51" customWidth="1"/>
    <col min="10" max="19" width="14.42578125" style="51" customWidth="1"/>
    <col min="20" max="16384" width="9.140625" style="51"/>
  </cols>
  <sheetData>
    <row r="1" spans="1:19">
      <c r="R1" s="168" t="s">
        <v>815</v>
      </c>
    </row>
    <row r="3" spans="1:19" ht="15.75">
      <c r="D3" s="1067" t="s">
        <v>865</v>
      </c>
      <c r="I3" s="53"/>
    </row>
    <row r="5" spans="1:19" ht="72.75" customHeight="1">
      <c r="A5" s="4" t="s">
        <v>200</v>
      </c>
      <c r="B5" s="5" t="s">
        <v>227</v>
      </c>
      <c r="C5" s="5" t="s">
        <v>228</v>
      </c>
      <c r="D5" s="5" t="s">
        <v>339</v>
      </c>
    </row>
    <row r="6" spans="1:19" ht="60" customHeight="1">
      <c r="A6" s="16" t="s">
        <v>86</v>
      </c>
      <c r="B6" s="639">
        <f>(L26*D26)+(L27*D27)+(L28*D28)+(L29*D29)+(L30*D30)</f>
        <v>1045810.18</v>
      </c>
      <c r="C6" s="21">
        <f>SUM(O26:O30)</f>
        <v>205157.88</v>
      </c>
      <c r="D6" s="21">
        <f>C6</f>
        <v>205157.88</v>
      </c>
    </row>
    <row r="7" spans="1:19" ht="60" customHeight="1">
      <c r="A7" s="16" t="s">
        <v>82</v>
      </c>
      <c r="B7" s="639">
        <f>(J26*D26)+(J27*D27)+(J28*D28)+(J29*D29)+(J30*D30)</f>
        <v>4830207.3800000008</v>
      </c>
      <c r="C7" s="21">
        <f>SUM(M26:M30)</f>
        <v>682625.91000000015</v>
      </c>
      <c r="D7" s="21">
        <f>C7</f>
        <v>682625.91000000015</v>
      </c>
    </row>
    <row r="8" spans="1:19">
      <c r="B8" s="76"/>
    </row>
    <row r="10" spans="1:19" ht="14.45" customHeight="1">
      <c r="A10" s="115" t="s">
        <v>32</v>
      </c>
      <c r="B10" s="115" t="s">
        <v>32</v>
      </c>
      <c r="C10" s="115" t="s">
        <v>32</v>
      </c>
      <c r="D10" s="115" t="s">
        <v>32</v>
      </c>
      <c r="E10" s="115" t="s">
        <v>32</v>
      </c>
      <c r="F10" s="16" t="s">
        <v>316</v>
      </c>
      <c r="G10" s="116" t="s">
        <v>317</v>
      </c>
      <c r="H10" s="116" t="s">
        <v>318</v>
      </c>
      <c r="I10" s="116" t="s">
        <v>319</v>
      </c>
      <c r="J10" s="121" t="s">
        <v>32</v>
      </c>
      <c r="K10" s="115" t="s">
        <v>32</v>
      </c>
      <c r="L10" s="115" t="s">
        <v>32</v>
      </c>
      <c r="M10" s="115" t="s">
        <v>32</v>
      </c>
      <c r="N10" s="1514" t="s">
        <v>340</v>
      </c>
      <c r="O10" s="1514" t="s">
        <v>341</v>
      </c>
      <c r="P10" s="1514" t="s">
        <v>342</v>
      </c>
      <c r="Q10" s="115" t="s">
        <v>32</v>
      </c>
      <c r="R10" s="115" t="s">
        <v>32</v>
      </c>
      <c r="S10" s="115" t="s">
        <v>32</v>
      </c>
    </row>
    <row r="11" spans="1:19" ht="27.75" customHeight="1">
      <c r="A11" s="115" t="s">
        <v>32</v>
      </c>
      <c r="B11" s="115" t="s">
        <v>32</v>
      </c>
      <c r="C11" s="115" t="s">
        <v>32</v>
      </c>
      <c r="D11" s="115" t="s">
        <v>32</v>
      </c>
      <c r="E11" s="117" t="s">
        <v>320</v>
      </c>
      <c r="F11" s="118">
        <v>2304</v>
      </c>
      <c r="G11" s="119">
        <v>1388</v>
      </c>
      <c r="H11" s="119">
        <v>925</v>
      </c>
      <c r="I11" s="120" t="s">
        <v>32</v>
      </c>
      <c r="J11" s="115" t="s">
        <v>32</v>
      </c>
      <c r="K11" s="115" t="s">
        <v>32</v>
      </c>
      <c r="L11" s="115" t="s">
        <v>32</v>
      </c>
      <c r="M11" s="115" t="s">
        <v>32</v>
      </c>
      <c r="N11" s="1515"/>
      <c r="O11" s="1515"/>
      <c r="P11" s="1515"/>
      <c r="Q11" s="115" t="s">
        <v>32</v>
      </c>
      <c r="R11" s="115" t="s">
        <v>32</v>
      </c>
      <c r="S11" s="115" t="s">
        <v>32</v>
      </c>
    </row>
    <row r="12" spans="1:19" ht="45">
      <c r="A12" s="115" t="s">
        <v>32</v>
      </c>
      <c r="B12" s="115" t="s">
        <v>32</v>
      </c>
      <c r="C12" s="115" t="s">
        <v>32</v>
      </c>
      <c r="D12" s="115" t="s">
        <v>32</v>
      </c>
      <c r="E12" s="117" t="s">
        <v>321</v>
      </c>
      <c r="F12" s="122">
        <f>ROUND(F11/9600,4)</f>
        <v>0.24</v>
      </c>
      <c r="G12" s="122">
        <f t="shared" ref="G12:H12" si="0">ROUND(G11/9600,4)</f>
        <v>0.14460000000000001</v>
      </c>
      <c r="H12" s="122">
        <f t="shared" si="0"/>
        <v>9.64E-2</v>
      </c>
      <c r="I12" s="120">
        <v>0.2359</v>
      </c>
      <c r="J12" s="115" t="s">
        <v>32</v>
      </c>
      <c r="K12" s="115" t="s">
        <v>32</v>
      </c>
      <c r="L12" s="115" t="s">
        <v>32</v>
      </c>
      <c r="M12" s="115" t="s">
        <v>343</v>
      </c>
      <c r="N12" s="16">
        <v>0.28570000000000001</v>
      </c>
      <c r="O12" s="116">
        <v>2.0199999999999999E-2</v>
      </c>
      <c r="P12" s="116">
        <v>3.2199999999999999E-2</v>
      </c>
      <c r="Q12" s="115" t="s">
        <v>32</v>
      </c>
      <c r="R12" s="115" t="s">
        <v>32</v>
      </c>
      <c r="S12" s="115" t="s">
        <v>32</v>
      </c>
    </row>
    <row r="13" spans="1:19">
      <c r="A13" s="115" t="s">
        <v>32</v>
      </c>
      <c r="B13" s="115" t="s">
        <v>32</v>
      </c>
      <c r="C13" s="115" t="s">
        <v>32</v>
      </c>
      <c r="D13" s="115" t="s">
        <v>32</v>
      </c>
      <c r="E13" s="115" t="s">
        <v>32</v>
      </c>
      <c r="F13" s="115" t="s">
        <v>32</v>
      </c>
      <c r="G13" s="115" t="s">
        <v>32</v>
      </c>
      <c r="H13" s="115" t="s">
        <v>32</v>
      </c>
      <c r="I13" s="115" t="s">
        <v>32</v>
      </c>
      <c r="J13" s="115" t="s">
        <v>32</v>
      </c>
      <c r="K13" s="115" t="s">
        <v>32</v>
      </c>
      <c r="L13" s="115" t="s">
        <v>32</v>
      </c>
      <c r="M13" s="115" t="s">
        <v>32</v>
      </c>
      <c r="N13" s="115" t="s">
        <v>32</v>
      </c>
      <c r="O13" s="115" t="s">
        <v>32</v>
      </c>
      <c r="P13" s="115" t="s">
        <v>32</v>
      </c>
      <c r="Q13" s="115" t="s">
        <v>32</v>
      </c>
      <c r="R13" s="115" t="s">
        <v>32</v>
      </c>
      <c r="S13" s="115" t="s">
        <v>32</v>
      </c>
    </row>
    <row r="14" spans="1:19" ht="14.45" customHeight="1">
      <c r="A14" s="1509" t="s">
        <v>232</v>
      </c>
      <c r="B14" s="1509" t="s">
        <v>231</v>
      </c>
      <c r="C14" s="1516" t="s">
        <v>344</v>
      </c>
      <c r="D14" s="1516"/>
      <c r="E14" s="1516"/>
      <c r="F14" s="1516"/>
      <c r="G14" s="1516"/>
      <c r="H14" s="1516"/>
      <c r="I14" s="1516"/>
      <c r="J14" s="1516"/>
      <c r="K14" s="1516"/>
      <c r="L14" s="1517"/>
      <c r="M14" s="1511" t="s">
        <v>32</v>
      </c>
      <c r="N14" s="1511"/>
      <c r="O14" s="1511"/>
      <c r="P14" s="1512"/>
      <c r="Q14" s="1509" t="s">
        <v>345</v>
      </c>
      <c r="R14" s="1509" t="s">
        <v>346</v>
      </c>
      <c r="S14" s="1509" t="s">
        <v>233</v>
      </c>
    </row>
    <row r="15" spans="1:19" ht="14.45" customHeight="1">
      <c r="A15" s="1510"/>
      <c r="B15" s="1510"/>
      <c r="C15" s="1511" t="s">
        <v>347</v>
      </c>
      <c r="D15" s="1511"/>
      <c r="E15" s="1512"/>
      <c r="F15" s="1511" t="s">
        <v>348</v>
      </c>
      <c r="G15" s="1511"/>
      <c r="H15" s="1512"/>
      <c r="I15" s="124" t="s">
        <v>349</v>
      </c>
      <c r="J15" s="1511" t="s">
        <v>350</v>
      </c>
      <c r="K15" s="1511"/>
      <c r="L15" s="1512"/>
      <c r="M15" s="1510" t="s">
        <v>351</v>
      </c>
      <c r="N15" s="1510" t="s">
        <v>352</v>
      </c>
      <c r="O15" s="1510" t="s">
        <v>353</v>
      </c>
      <c r="P15" s="1510" t="s">
        <v>354</v>
      </c>
      <c r="Q15" s="1510"/>
      <c r="R15" s="1510"/>
      <c r="S15" s="1510"/>
    </row>
    <row r="16" spans="1:19" ht="14.45" customHeight="1">
      <c r="A16" s="1513"/>
      <c r="B16" s="1513"/>
      <c r="C16" s="124" t="s">
        <v>355</v>
      </c>
      <c r="D16" s="124" t="s">
        <v>356</v>
      </c>
      <c r="E16" s="124" t="s">
        <v>357</v>
      </c>
      <c r="F16" s="239" t="s">
        <v>355</v>
      </c>
      <c r="G16" s="239" t="s">
        <v>356</v>
      </c>
      <c r="H16" s="124" t="s">
        <v>358</v>
      </c>
      <c r="I16" s="239" t="s">
        <v>359</v>
      </c>
      <c r="J16" s="124" t="s">
        <v>360</v>
      </c>
      <c r="K16" s="124" t="s">
        <v>361</v>
      </c>
      <c r="L16" s="124" t="s">
        <v>362</v>
      </c>
      <c r="M16" s="1513"/>
      <c r="N16" s="1510"/>
      <c r="O16" s="1510"/>
      <c r="P16" s="1510"/>
      <c r="Q16" s="1510"/>
      <c r="R16" s="1510"/>
      <c r="S16" s="1510"/>
    </row>
    <row r="17" spans="1:19" ht="28.5" customHeight="1">
      <c r="A17" s="226" t="str">
        <f>0&amp;6021</f>
        <v>06021</v>
      </c>
      <c r="B17" s="225" t="s">
        <v>363</v>
      </c>
      <c r="C17" s="225">
        <v>45</v>
      </c>
      <c r="D17" s="225">
        <v>45</v>
      </c>
      <c r="E17" s="238">
        <v>0</v>
      </c>
      <c r="F17" s="236">
        <f>C17*$F$12</f>
        <v>10.799999999999999</v>
      </c>
      <c r="G17" s="240">
        <f>D17*$G$12</f>
        <v>6.5070000000000006</v>
      </c>
      <c r="H17" s="238">
        <v>0</v>
      </c>
      <c r="I17" s="240">
        <f>(F17+G17)*$I$12</f>
        <v>4.0827212999999993</v>
      </c>
      <c r="J17" s="245">
        <f>K17+L17</f>
        <v>3.2</v>
      </c>
      <c r="K17" s="225">
        <v>0.93</v>
      </c>
      <c r="L17" s="225">
        <v>2.27</v>
      </c>
      <c r="M17" s="238">
        <v>2.2400000000000002</v>
      </c>
      <c r="N17" s="240">
        <f>ROUNDUP((F17+G17)*$N$12,2)</f>
        <v>4.95</v>
      </c>
      <c r="O17" s="240">
        <f>(F17+G17)*$O$12</f>
        <v>0.34960139999999995</v>
      </c>
      <c r="P17" s="240">
        <f>(F17+G17)*$P$12</f>
        <v>0.55728539999999993</v>
      </c>
      <c r="Q17" s="241">
        <f>ROUND(F17+G17+I17+J17+M17+N17+O17+P17,2)</f>
        <v>32.69</v>
      </c>
      <c r="R17" s="242">
        <v>4</v>
      </c>
      <c r="S17" s="241">
        <f>ROUND(Q17-R17,2)</f>
        <v>28.69</v>
      </c>
    </row>
    <row r="18" spans="1:19" ht="30">
      <c r="A18" s="193" t="str">
        <f>0&amp;6033</f>
        <v>06033</v>
      </c>
      <c r="B18" s="227" t="s">
        <v>364</v>
      </c>
      <c r="C18" s="228">
        <v>81</v>
      </c>
      <c r="D18" s="228">
        <v>50</v>
      </c>
      <c r="E18" s="232">
        <v>0</v>
      </c>
      <c r="F18" s="236">
        <f>C18*$F$12</f>
        <v>19.439999999999998</v>
      </c>
      <c r="G18" s="236">
        <f>D18*$G$12</f>
        <v>7.23</v>
      </c>
      <c r="H18" s="232">
        <v>0</v>
      </c>
      <c r="I18" s="244">
        <f>(F18+G18)*$I$12</f>
        <v>6.2914529999999997</v>
      </c>
      <c r="J18" s="246">
        <f>K18+L18</f>
        <v>7.87</v>
      </c>
      <c r="K18" s="229">
        <v>1.83</v>
      </c>
      <c r="L18" s="229">
        <v>6.04</v>
      </c>
      <c r="M18" s="232">
        <v>12.94</v>
      </c>
      <c r="N18" s="240">
        <f>(F18+G18)*$N$12</f>
        <v>7.6196190000000001</v>
      </c>
      <c r="O18" s="240">
        <f>(F18+G18)*$O$12</f>
        <v>0.53873399999999994</v>
      </c>
      <c r="P18" s="240">
        <f>(F18+G18)*$P$12</f>
        <v>0.85877399999999993</v>
      </c>
      <c r="Q18" s="241">
        <f>ROUND(F18+G18+I18+J18+M18+N18+O18+P18,2)</f>
        <v>62.79</v>
      </c>
      <c r="R18" s="241">
        <v>4</v>
      </c>
      <c r="S18" s="241">
        <f>ROUND(Q18-R18,2)</f>
        <v>58.79</v>
      </c>
    </row>
    <row r="19" spans="1:19" s="146" customFormat="1" ht="90">
      <c r="A19" s="193" t="str">
        <f>0&amp;6034</f>
        <v>06034</v>
      </c>
      <c r="B19" s="243" t="s">
        <v>365</v>
      </c>
      <c r="C19" s="230">
        <v>110</v>
      </c>
      <c r="D19" s="230">
        <v>110</v>
      </c>
      <c r="E19" s="230">
        <v>0</v>
      </c>
      <c r="F19" s="240">
        <f t="shared" ref="F19" si="1">C19*$F$12</f>
        <v>26.4</v>
      </c>
      <c r="G19" s="240">
        <f t="shared" ref="G19" si="2">D19*$G$12</f>
        <v>15.906000000000001</v>
      </c>
      <c r="H19" s="230">
        <v>0</v>
      </c>
      <c r="I19" s="244">
        <f t="shared" ref="I19:I21" si="3">(F19+G19)*$I$12</f>
        <v>9.9799853999999986</v>
      </c>
      <c r="J19" s="16">
        <f t="shared" ref="J19:J21" si="4">K19+L19</f>
        <v>18.29</v>
      </c>
      <c r="K19" s="231">
        <v>11.65</v>
      </c>
      <c r="L19" s="230">
        <v>6.64</v>
      </c>
      <c r="M19" s="230">
        <v>23.03</v>
      </c>
      <c r="N19" s="240">
        <f t="shared" ref="N19:N21" si="5">(F19+G19)*$N$12</f>
        <v>12.086824199999999</v>
      </c>
      <c r="O19" s="240">
        <f t="shared" ref="O19:O21" si="6">(F19+G19)*$O$12</f>
        <v>0.85458119999999993</v>
      </c>
      <c r="P19" s="240">
        <f t="shared" ref="P19:P21" si="7">(F19+G19)*$P$12</f>
        <v>1.3622531999999998</v>
      </c>
      <c r="Q19" s="241">
        <f t="shared" ref="Q19:Q21" si="8">ROUND(F19+G19+I19+J19+M19+N19+O19+P19,2)</f>
        <v>107.91</v>
      </c>
      <c r="R19" s="230">
        <v>4</v>
      </c>
      <c r="S19" s="241">
        <f t="shared" ref="S19:S21" si="9">ROUND(Q19-R19,2)</f>
        <v>103.91</v>
      </c>
    </row>
    <row r="20" spans="1:19" s="146" customFormat="1">
      <c r="A20" s="193" t="str">
        <f>0&amp;6035</f>
        <v>06035</v>
      </c>
      <c r="B20" s="243" t="s">
        <v>366</v>
      </c>
      <c r="C20" s="230">
        <v>46</v>
      </c>
      <c r="D20" s="230">
        <v>46</v>
      </c>
      <c r="E20" s="230">
        <v>0</v>
      </c>
      <c r="F20" s="240">
        <f>ROUND(C20*$F$12,2)</f>
        <v>11.04</v>
      </c>
      <c r="G20" s="240">
        <f>ROUND(D20*$G$12,2)</f>
        <v>6.65</v>
      </c>
      <c r="H20" s="247">
        <v>0</v>
      </c>
      <c r="I20" s="244">
        <f t="shared" si="3"/>
        <v>4.1730709999999993</v>
      </c>
      <c r="J20" s="248">
        <f t="shared" si="4"/>
        <v>5.2299999999999995</v>
      </c>
      <c r="K20" s="249">
        <v>1.64</v>
      </c>
      <c r="L20" s="247">
        <v>3.59</v>
      </c>
      <c r="M20" s="247">
        <v>11.69</v>
      </c>
      <c r="N20" s="240">
        <f t="shared" si="5"/>
        <v>5.0540329999999996</v>
      </c>
      <c r="O20" s="240">
        <f t="shared" si="6"/>
        <v>0.35733799999999993</v>
      </c>
      <c r="P20" s="240">
        <f t="shared" si="7"/>
        <v>0.56961799999999996</v>
      </c>
      <c r="Q20" s="241">
        <f t="shared" si="8"/>
        <v>44.76</v>
      </c>
      <c r="R20" s="247">
        <v>4</v>
      </c>
      <c r="S20" s="241">
        <f t="shared" si="9"/>
        <v>40.76</v>
      </c>
    </row>
    <row r="21" spans="1:19" s="146" customFormat="1" ht="90">
      <c r="A21" s="193" t="str">
        <f>0&amp;6041</f>
        <v>06041</v>
      </c>
      <c r="B21" s="243" t="s">
        <v>367</v>
      </c>
      <c r="C21" s="230">
        <v>85</v>
      </c>
      <c r="D21" s="230">
        <v>55</v>
      </c>
      <c r="E21" s="230">
        <v>0</v>
      </c>
      <c r="F21" s="236">
        <f>ROUND(C21*$F$12,2)</f>
        <v>20.399999999999999</v>
      </c>
      <c r="G21" s="240">
        <f>ROUND(D21*$G$12,2)</f>
        <v>7.95</v>
      </c>
      <c r="H21" s="230">
        <v>0</v>
      </c>
      <c r="I21" s="244">
        <f t="shared" si="3"/>
        <v>6.6877649999999997</v>
      </c>
      <c r="J21" s="16">
        <f t="shared" si="4"/>
        <v>21.990000000000002</v>
      </c>
      <c r="K21" s="231">
        <v>13.69</v>
      </c>
      <c r="L21" s="230">
        <v>8.3000000000000007</v>
      </c>
      <c r="M21" s="230">
        <v>26.78</v>
      </c>
      <c r="N21" s="240">
        <f t="shared" si="5"/>
        <v>8.099594999999999</v>
      </c>
      <c r="O21" s="240">
        <f t="shared" si="6"/>
        <v>0.5726699999999999</v>
      </c>
      <c r="P21" s="240">
        <f t="shared" si="7"/>
        <v>0.91286999999999996</v>
      </c>
      <c r="Q21" s="241">
        <f t="shared" si="8"/>
        <v>93.39</v>
      </c>
      <c r="R21" s="230">
        <v>4</v>
      </c>
      <c r="S21" s="241">
        <f t="shared" si="9"/>
        <v>89.39</v>
      </c>
    </row>
    <row r="22" spans="1:19" s="146" customFormat="1"/>
    <row r="24" spans="1:19" ht="48.75" customHeight="1">
      <c r="A24" s="1505" t="s">
        <v>232</v>
      </c>
      <c r="B24" s="1505" t="s">
        <v>368</v>
      </c>
      <c r="C24" s="1505" t="s">
        <v>369</v>
      </c>
      <c r="D24" s="1505" t="s">
        <v>370</v>
      </c>
      <c r="E24" s="1508" t="s">
        <v>371</v>
      </c>
      <c r="F24" s="1505" t="s">
        <v>372</v>
      </c>
      <c r="G24" s="1505" t="s">
        <v>251</v>
      </c>
      <c r="H24" s="1505" t="s">
        <v>373</v>
      </c>
      <c r="I24" s="1505" t="s">
        <v>374</v>
      </c>
      <c r="J24" s="1502" t="s">
        <v>375</v>
      </c>
      <c r="K24" s="1503"/>
      <c r="L24" s="1503"/>
      <c r="M24" s="1502" t="s">
        <v>376</v>
      </c>
      <c r="N24" s="1503"/>
      <c r="O24" s="1504"/>
    </row>
    <row r="25" spans="1:19" ht="30">
      <c r="A25" s="1507"/>
      <c r="B25" s="1507"/>
      <c r="C25" s="1507"/>
      <c r="D25" s="1507"/>
      <c r="E25" s="1508"/>
      <c r="F25" s="1506"/>
      <c r="G25" s="1506"/>
      <c r="H25" s="1506"/>
      <c r="I25" s="1506"/>
      <c r="J25" s="1073" t="s">
        <v>377</v>
      </c>
      <c r="K25" s="1073" t="s">
        <v>378</v>
      </c>
      <c r="L25" s="1074" t="s">
        <v>379</v>
      </c>
      <c r="M25" s="1072" t="s">
        <v>377</v>
      </c>
      <c r="N25" s="1072" t="s">
        <v>378</v>
      </c>
      <c r="O25" s="1074" t="s">
        <v>379</v>
      </c>
    </row>
    <row r="26" spans="1:19" ht="27" customHeight="1">
      <c r="A26" s="233" t="str">
        <f>0&amp;6021</f>
        <v>06021</v>
      </c>
      <c r="B26" s="16" t="str">
        <f>B17</f>
        <v>Veloergometrijas slodzes tests</v>
      </c>
      <c r="C26" s="234" t="s">
        <v>380</v>
      </c>
      <c r="D26" s="16">
        <v>26.23</v>
      </c>
      <c r="E26" s="235">
        <f>S17</f>
        <v>28.69</v>
      </c>
      <c r="F26" s="1068">
        <f>J26+L26</f>
        <v>25704</v>
      </c>
      <c r="G26" s="16">
        <v>1</v>
      </c>
      <c r="H26" s="127">
        <f>E26-D26</f>
        <v>2.4600000000000009</v>
      </c>
      <c r="I26" s="237">
        <f>F26*H26</f>
        <v>63231.840000000018</v>
      </c>
      <c r="J26" s="1068">
        <v>25296</v>
      </c>
      <c r="K26" s="1068">
        <v>0</v>
      </c>
      <c r="L26" s="1069">
        <v>408</v>
      </c>
      <c r="M26" s="1069">
        <f>J26*H26</f>
        <v>62228.160000000018</v>
      </c>
      <c r="N26" s="1069">
        <v>0</v>
      </c>
      <c r="O26" s="1069">
        <f>L26*H26</f>
        <v>1003.6800000000003</v>
      </c>
    </row>
    <row r="27" spans="1:19" ht="30">
      <c r="A27" s="126" t="str">
        <f>0&amp;6033</f>
        <v>06033</v>
      </c>
      <c r="B27" s="127" t="s">
        <v>364</v>
      </c>
      <c r="C27" s="234" t="s">
        <v>380</v>
      </c>
      <c r="D27" s="127">
        <v>51.33</v>
      </c>
      <c r="E27" s="224">
        <f>S18</f>
        <v>58.79</v>
      </c>
      <c r="F27" s="1070">
        <f>J27+L27</f>
        <v>95952</v>
      </c>
      <c r="G27" s="127">
        <v>1</v>
      </c>
      <c r="H27" s="127">
        <f>E27-D27</f>
        <v>7.4600000000000009</v>
      </c>
      <c r="I27" s="237">
        <f>F27*H27</f>
        <v>715801.92</v>
      </c>
      <c r="J27" s="1070">
        <v>79472</v>
      </c>
      <c r="K27" s="1070">
        <v>0</v>
      </c>
      <c r="L27" s="1070">
        <v>16480</v>
      </c>
      <c r="M27" s="1069">
        <f t="shared" ref="M27:M30" si="10">J27*H27</f>
        <v>592861.12000000011</v>
      </c>
      <c r="N27" s="1069">
        <v>0</v>
      </c>
      <c r="O27" s="1069">
        <f t="shared" ref="O27:O30" si="11">L27*H27</f>
        <v>122940.80000000002</v>
      </c>
    </row>
    <row r="28" spans="1:19" ht="90">
      <c r="A28" s="193" t="str">
        <f>0&amp;6034</f>
        <v>06034</v>
      </c>
      <c r="B28" s="233" t="s">
        <v>365</v>
      </c>
      <c r="C28" s="234" t="s">
        <v>380</v>
      </c>
      <c r="D28" s="233">
        <v>85.88</v>
      </c>
      <c r="E28" s="235">
        <f t="shared" ref="E28:E30" si="12">S19</f>
        <v>103.91</v>
      </c>
      <c r="F28" s="1071">
        <f t="shared" ref="F28:F30" si="13">J28+L28</f>
        <v>600</v>
      </c>
      <c r="G28" s="233">
        <v>1</v>
      </c>
      <c r="H28" s="127">
        <f t="shared" ref="H28:H30" si="14">E28-D28</f>
        <v>18.03</v>
      </c>
      <c r="I28" s="237">
        <f t="shared" ref="I28:I30" si="15">F28*H28</f>
        <v>10818</v>
      </c>
      <c r="J28" s="1071">
        <v>596</v>
      </c>
      <c r="K28" s="1071">
        <v>0</v>
      </c>
      <c r="L28" s="1071">
        <v>4</v>
      </c>
      <c r="M28" s="1069">
        <f t="shared" si="10"/>
        <v>10745.880000000001</v>
      </c>
      <c r="N28" s="1069">
        <v>0</v>
      </c>
      <c r="O28" s="1069">
        <f t="shared" si="11"/>
        <v>72.12</v>
      </c>
    </row>
    <row r="29" spans="1:19">
      <c r="A29" s="193" t="str">
        <f>0&amp;6035</f>
        <v>06035</v>
      </c>
      <c r="B29" s="233" t="s">
        <v>366</v>
      </c>
      <c r="C29" s="234" t="s">
        <v>380</v>
      </c>
      <c r="D29" s="233">
        <v>30.63</v>
      </c>
      <c r="E29" s="224">
        <f t="shared" si="12"/>
        <v>40.76</v>
      </c>
      <c r="F29" s="1071">
        <f t="shared" si="13"/>
        <v>1641</v>
      </c>
      <c r="G29" s="233">
        <v>1</v>
      </c>
      <c r="H29" s="127">
        <f t="shared" si="14"/>
        <v>10.129999999999999</v>
      </c>
      <c r="I29" s="237">
        <f t="shared" si="15"/>
        <v>16623.329999999998</v>
      </c>
      <c r="J29" s="1071">
        <v>13</v>
      </c>
      <c r="K29" s="1071">
        <v>0</v>
      </c>
      <c r="L29" s="1071">
        <v>1628</v>
      </c>
      <c r="M29" s="1069">
        <f t="shared" si="10"/>
        <v>131.69</v>
      </c>
      <c r="N29" s="1069">
        <v>0</v>
      </c>
      <c r="O29" s="1069">
        <f t="shared" si="11"/>
        <v>16491.64</v>
      </c>
    </row>
    <row r="30" spans="1:19" ht="90">
      <c r="A30" s="193" t="str">
        <f>0&amp;6041</f>
        <v>06041</v>
      </c>
      <c r="B30" s="233" t="s">
        <v>367</v>
      </c>
      <c r="C30" s="234" t="s">
        <v>380</v>
      </c>
      <c r="D30" s="233">
        <v>61.01</v>
      </c>
      <c r="E30" s="235">
        <f t="shared" si="12"/>
        <v>89.39</v>
      </c>
      <c r="F30" s="1071">
        <f t="shared" si="13"/>
        <v>2865</v>
      </c>
      <c r="G30" s="233">
        <v>1</v>
      </c>
      <c r="H30" s="127">
        <f t="shared" si="14"/>
        <v>28.380000000000003</v>
      </c>
      <c r="I30" s="237">
        <f t="shared" si="15"/>
        <v>81308.700000000012</v>
      </c>
      <c r="J30" s="1071">
        <v>587</v>
      </c>
      <c r="K30" s="1071">
        <v>0</v>
      </c>
      <c r="L30" s="1071">
        <v>2278</v>
      </c>
      <c r="M30" s="1069">
        <f t="shared" si="10"/>
        <v>16659.060000000001</v>
      </c>
      <c r="N30" s="1069">
        <v>0</v>
      </c>
      <c r="O30" s="1069">
        <f t="shared" si="11"/>
        <v>64649.640000000007</v>
      </c>
    </row>
    <row r="31" spans="1:19">
      <c r="A31" s="51" t="s">
        <v>381</v>
      </c>
      <c r="I31" s="76">
        <f>SUM(I26:I30)</f>
        <v>887783.79</v>
      </c>
      <c r="J31" s="76">
        <f>SUM(J26:J30)</f>
        <v>105964</v>
      </c>
      <c r="K31" s="76"/>
      <c r="L31" s="76">
        <f>SUM(L26:L30)</f>
        <v>20798</v>
      </c>
      <c r="M31" s="76">
        <f>SUM(M26:M30)</f>
        <v>682625.91000000015</v>
      </c>
      <c r="N31" s="76"/>
      <c r="O31" s="76">
        <f>SUM(O26:O30)</f>
        <v>205157.88</v>
      </c>
    </row>
    <row r="32" spans="1:19">
      <c r="A32" s="51" t="s">
        <v>382</v>
      </c>
    </row>
  </sheetData>
  <mergeCells count="28">
    <mergeCell ref="N10:N11"/>
    <mergeCell ref="O10:O11"/>
    <mergeCell ref="P10:P11"/>
    <mergeCell ref="A14:A16"/>
    <mergeCell ref="B14:B16"/>
    <mergeCell ref="C14:L14"/>
    <mergeCell ref="M14:P14"/>
    <mergeCell ref="Q14:Q16"/>
    <mergeCell ref="R14:R16"/>
    <mergeCell ref="S14:S16"/>
    <mergeCell ref="C15:E15"/>
    <mergeCell ref="F15:H15"/>
    <mergeCell ref="J15:L15"/>
    <mergeCell ref="M15:M16"/>
    <mergeCell ref="N15:N16"/>
    <mergeCell ref="O15:O16"/>
    <mergeCell ref="P15:P16"/>
    <mergeCell ref="A24:A25"/>
    <mergeCell ref="B24:B25"/>
    <mergeCell ref="C24:C25"/>
    <mergeCell ref="D24:D25"/>
    <mergeCell ref="E24:E25"/>
    <mergeCell ref="M24:O24"/>
    <mergeCell ref="F24:F25"/>
    <mergeCell ref="G24:G25"/>
    <mergeCell ref="H24:H25"/>
    <mergeCell ref="I24:I25"/>
    <mergeCell ref="J24:L24"/>
  </mergeCells>
  <pageMargins left="0.7" right="0.7" top="0.75" bottom="0.75" header="0.3" footer="0.3"/>
  <pageSetup paperSize="9" scale="28"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A4DA8-5A8D-4A02-9C17-F5D73413C810}">
  <sheetPr>
    <tabColor theme="7" tint="0.79998168889431442"/>
  </sheetPr>
  <dimension ref="A1:M15"/>
  <sheetViews>
    <sheetView view="pageBreakPreview" zoomScale="60" zoomScaleNormal="100" workbookViewId="0">
      <selection activeCell="J1" sqref="J1"/>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J1" s="168" t="s">
        <v>816</v>
      </c>
    </row>
    <row r="2" spans="1:13">
      <c r="A2" s="1459" t="s">
        <v>780</v>
      </c>
      <c r="B2" s="1459"/>
      <c r="C2" s="1459"/>
      <c r="D2" s="987"/>
    </row>
    <row r="3" spans="1:13">
      <c r="A3" s="1462" t="s">
        <v>1</v>
      </c>
      <c r="B3" s="1518" t="s">
        <v>794</v>
      </c>
      <c r="C3" s="1518"/>
      <c r="D3" s="987"/>
    </row>
    <row r="4" spans="1:13">
      <c r="A4" s="1463"/>
      <c r="B4" s="988" t="s">
        <v>765</v>
      </c>
      <c r="C4" s="989" t="s">
        <v>766</v>
      </c>
      <c r="D4" s="990"/>
    </row>
    <row r="5" spans="1:13" ht="25.5">
      <c r="A5" s="991" t="s">
        <v>88</v>
      </c>
      <c r="B5" s="992">
        <v>0</v>
      </c>
      <c r="C5" s="503">
        <f>27900*1.21</f>
        <v>33759</v>
      </c>
      <c r="D5" s="990"/>
    </row>
    <row r="6" spans="1:13" ht="59.25" customHeight="1">
      <c r="A6" s="1460" t="s">
        <v>767</v>
      </c>
      <c r="B6" s="1460"/>
      <c r="C6" s="1460"/>
      <c r="D6" s="990"/>
    </row>
    <row r="7" spans="1:13">
      <c r="A7" s="1466"/>
      <c r="B7" s="1466"/>
      <c r="C7" s="1466"/>
    </row>
    <row r="9" spans="1:13">
      <c r="J9" s="1467" t="s">
        <v>763</v>
      </c>
      <c r="K9" s="1467"/>
    </row>
    <row r="10" spans="1:13">
      <c r="A10" s="1459" t="s">
        <v>780</v>
      </c>
      <c r="B10" s="1459"/>
      <c r="C10" s="1459"/>
      <c r="D10" s="1459"/>
      <c r="E10" s="1459"/>
      <c r="F10" s="1459"/>
      <c r="G10" s="1459"/>
      <c r="H10" s="1459"/>
      <c r="I10" s="1459"/>
      <c r="J10" s="1459"/>
      <c r="K10" s="1459"/>
    </row>
    <row r="11" spans="1:13" ht="63.75">
      <c r="A11" s="993"/>
      <c r="B11" s="994" t="s">
        <v>1</v>
      </c>
      <c r="C11" s="994" t="s">
        <v>2</v>
      </c>
      <c r="D11" s="988" t="s">
        <v>3</v>
      </c>
      <c r="E11" s="988" t="s">
        <v>768</v>
      </c>
      <c r="F11" s="988" t="s">
        <v>769</v>
      </c>
      <c r="G11" s="988" t="s">
        <v>770</v>
      </c>
      <c r="H11" s="988" t="s">
        <v>771</v>
      </c>
      <c r="I11" s="988" t="s">
        <v>772</v>
      </c>
      <c r="J11" s="988" t="s">
        <v>773</v>
      </c>
      <c r="K11" s="988" t="s">
        <v>774</v>
      </c>
    </row>
    <row r="12" spans="1:13" ht="12.75" customHeight="1">
      <c r="A12" s="1519" t="s">
        <v>776</v>
      </c>
      <c r="B12" s="1519" t="s">
        <v>780</v>
      </c>
      <c r="C12" s="1521"/>
      <c r="D12" s="1521"/>
      <c r="E12" s="994" t="s">
        <v>777</v>
      </c>
      <c r="F12" s="992">
        <v>1</v>
      </c>
      <c r="G12" s="992">
        <v>13950</v>
      </c>
      <c r="H12" s="992">
        <f>F12*G12</f>
        <v>13950</v>
      </c>
      <c r="I12" s="992">
        <v>21</v>
      </c>
      <c r="J12" s="992">
        <f>G12*1.21</f>
        <v>16879.5</v>
      </c>
      <c r="K12" s="992">
        <f>F12*J12</f>
        <v>16879.5</v>
      </c>
      <c r="M12" s="997"/>
    </row>
    <row r="13" spans="1:13" ht="40.5" customHeight="1">
      <c r="A13" s="1520"/>
      <c r="B13" s="1520"/>
      <c r="C13" s="1522"/>
      <c r="D13" s="1522"/>
      <c r="E13" s="994" t="s">
        <v>778</v>
      </c>
      <c r="F13" s="992">
        <v>1</v>
      </c>
      <c r="G13" s="992">
        <v>13950</v>
      </c>
      <c r="H13" s="992">
        <f t="shared" ref="H13" si="0">F13*G13</f>
        <v>13950</v>
      </c>
      <c r="I13" s="992">
        <v>21</v>
      </c>
      <c r="J13" s="992">
        <f t="shared" ref="J13" si="1">G13*1.21</f>
        <v>16879.5</v>
      </c>
      <c r="K13" s="992">
        <f t="shared" ref="K13" si="2">F13*J13</f>
        <v>16879.5</v>
      </c>
      <c r="M13" s="997"/>
    </row>
    <row r="14" spans="1:13">
      <c r="A14" s="502"/>
      <c r="B14" s="502"/>
      <c r="C14" s="502"/>
      <c r="D14" s="502"/>
      <c r="E14" s="502"/>
      <c r="F14" s="502"/>
      <c r="G14" s="502"/>
      <c r="H14" s="998">
        <f>SUM(H12:H13)</f>
        <v>27900</v>
      </c>
      <c r="I14" s="502"/>
      <c r="J14" s="998"/>
      <c r="K14" s="992">
        <f>SUM(K12:K13)</f>
        <v>33759</v>
      </c>
    </row>
    <row r="15" spans="1:13" ht="36.75" customHeight="1">
      <c r="A15" s="1460" t="s">
        <v>767</v>
      </c>
      <c r="B15" s="1460"/>
      <c r="C15" s="1460"/>
      <c r="D15" s="1460"/>
      <c r="E15" s="1460"/>
      <c r="F15" s="1460"/>
      <c r="G15" s="1460"/>
      <c r="H15" s="1460"/>
      <c r="I15" s="1460"/>
      <c r="J15" s="1460"/>
      <c r="K15" s="1460"/>
    </row>
  </sheetData>
  <mergeCells count="12">
    <mergeCell ref="A15:K15"/>
    <mergeCell ref="A2:C2"/>
    <mergeCell ref="A3:A4"/>
    <mergeCell ref="B3:C3"/>
    <mergeCell ref="A6:C6"/>
    <mergeCell ref="A7:C7"/>
    <mergeCell ref="J9:K9"/>
    <mergeCell ref="A10:K10"/>
    <mergeCell ref="A12:A13"/>
    <mergeCell ref="B12:B13"/>
    <mergeCell ref="C12:C13"/>
    <mergeCell ref="D12:D13"/>
  </mergeCells>
  <pageMargins left="0.7" right="0.7" top="0.75" bottom="0.75" header="0.3" footer="0.3"/>
  <pageSetup paperSize="9" scale="44"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DDB93-A4DE-4BDC-8511-FD8D5940E30E}">
  <sheetPr>
    <tabColor theme="7" tint="0.79998168889431442"/>
  </sheetPr>
  <dimension ref="A1:AD24"/>
  <sheetViews>
    <sheetView view="pageBreakPreview" zoomScale="60" zoomScaleNormal="80" workbookViewId="0">
      <selection activeCell="D5" sqref="D5"/>
    </sheetView>
  </sheetViews>
  <sheetFormatPr defaultColWidth="9.140625" defaultRowHeight="15"/>
  <cols>
    <col min="1" max="1" width="24.140625" style="51" customWidth="1"/>
    <col min="2" max="2" width="24.28515625" style="51" customWidth="1"/>
    <col min="3" max="3" width="22.7109375" style="51" customWidth="1"/>
    <col min="4" max="4" width="25.42578125" style="51" customWidth="1"/>
    <col min="5" max="5" width="15.28515625" style="51" customWidth="1"/>
    <col min="6" max="6" width="13" style="51" customWidth="1"/>
    <col min="7" max="7" width="12.5703125" style="51" customWidth="1"/>
    <col min="8" max="8" width="15.140625" style="51" customWidth="1"/>
    <col min="9" max="9" width="17.85546875" style="51" customWidth="1"/>
    <col min="10" max="10" width="12.7109375" style="51" customWidth="1"/>
    <col min="11" max="11" width="9.140625" style="51"/>
    <col min="12" max="12" width="13.7109375" style="51" customWidth="1"/>
    <col min="13" max="13" width="13.140625" style="51" customWidth="1"/>
    <col min="14" max="14" width="13" style="51" customWidth="1"/>
    <col min="15" max="15" width="9.140625" style="51"/>
    <col min="16" max="16" width="13.85546875" style="51" customWidth="1"/>
    <col min="17" max="17" width="12.42578125" style="51" customWidth="1"/>
    <col min="18" max="18" width="15" style="51" customWidth="1"/>
    <col min="19" max="16382" width="9.140625" style="51"/>
    <col min="16383" max="16383" width="9.140625" style="51" bestFit="1"/>
    <col min="16384" max="16384" width="9.140625" style="51"/>
  </cols>
  <sheetData>
    <row r="1" spans="1:30">
      <c r="A1" s="115"/>
      <c r="B1" s="115"/>
      <c r="C1" s="115"/>
      <c r="D1" s="115"/>
      <c r="E1" s="52"/>
      <c r="F1" s="115"/>
      <c r="G1" s="115"/>
      <c r="H1" s="115"/>
      <c r="I1" s="115"/>
      <c r="J1" s="115"/>
      <c r="K1" s="115"/>
      <c r="L1" s="115"/>
      <c r="M1" s="115"/>
      <c r="N1" s="115"/>
      <c r="O1" s="115"/>
      <c r="P1" s="115"/>
      <c r="Q1" s="168" t="s">
        <v>873</v>
      </c>
      <c r="R1" s="115"/>
      <c r="S1" s="115"/>
      <c r="T1" s="115"/>
      <c r="U1" s="115"/>
      <c r="V1" s="115"/>
      <c r="W1" s="115"/>
      <c r="X1" s="115"/>
      <c r="Y1" s="115"/>
      <c r="Z1" s="115"/>
      <c r="AA1" s="115"/>
      <c r="AB1" s="115"/>
      <c r="AC1" s="115"/>
    </row>
    <row r="2" spans="1:30">
      <c r="A2" s="115"/>
      <c r="B2" s="115"/>
      <c r="C2" s="115"/>
      <c r="D2" s="115"/>
      <c r="F2" s="115"/>
      <c r="G2" s="115"/>
      <c r="H2" s="115"/>
      <c r="I2" s="115"/>
      <c r="J2" s="115"/>
      <c r="K2" s="115"/>
      <c r="L2" s="115"/>
      <c r="M2" s="115"/>
      <c r="N2" s="115"/>
      <c r="O2" s="115"/>
      <c r="P2" s="115"/>
      <c r="Q2" s="115"/>
      <c r="R2" s="115"/>
      <c r="S2" s="115"/>
      <c r="T2" s="115"/>
      <c r="U2" s="115"/>
      <c r="V2" s="115"/>
      <c r="W2" s="115"/>
      <c r="X2" s="115"/>
      <c r="Y2" s="115"/>
      <c r="Z2" s="115"/>
      <c r="AA2" s="115"/>
      <c r="AB2" s="115"/>
      <c r="AC2" s="115"/>
    </row>
    <row r="3" spans="1:30" ht="14.45" customHeight="1">
      <c r="B3" s="674"/>
      <c r="C3" s="674"/>
      <c r="D3" s="115"/>
      <c r="E3" s="1079" t="s">
        <v>818</v>
      </c>
      <c r="F3" s="115"/>
      <c r="G3" s="115"/>
      <c r="H3" s="115"/>
      <c r="I3" s="115"/>
      <c r="J3" s="115"/>
      <c r="K3" s="115"/>
      <c r="L3" s="115"/>
      <c r="M3" s="115"/>
      <c r="N3" s="115"/>
      <c r="O3" s="115"/>
      <c r="P3" s="115"/>
      <c r="Q3" s="115"/>
      <c r="R3" s="115"/>
      <c r="S3" s="115"/>
      <c r="T3" s="115"/>
      <c r="U3" s="115"/>
      <c r="V3" s="115"/>
      <c r="W3" s="115"/>
      <c r="X3" s="115"/>
      <c r="Y3" s="115"/>
      <c r="Z3" s="115"/>
      <c r="AA3" s="115"/>
      <c r="AB3" s="115"/>
      <c r="AC3" s="115"/>
    </row>
    <row r="4" spans="1:30">
      <c r="A4" s="115"/>
      <c r="B4" s="115"/>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row>
    <row r="5" spans="1:30" ht="91.5" customHeight="1">
      <c r="A5" s="4" t="s">
        <v>200</v>
      </c>
      <c r="B5" s="5" t="s">
        <v>227</v>
      </c>
      <c r="C5" s="5" t="s">
        <v>201</v>
      </c>
      <c r="D5" s="5" t="s">
        <v>1014</v>
      </c>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row>
    <row r="6" spans="1:30" ht="68.25" customHeight="1">
      <c r="A6" s="6" t="s">
        <v>82</v>
      </c>
      <c r="B6" s="687">
        <v>0</v>
      </c>
      <c r="C6" s="688">
        <f>H22</f>
        <v>83080</v>
      </c>
      <c r="D6" s="688">
        <f>C6</f>
        <v>83080</v>
      </c>
      <c r="E6" s="115"/>
      <c r="F6" s="115"/>
      <c r="G6" s="115"/>
      <c r="H6" s="115"/>
      <c r="I6" s="115"/>
      <c r="J6" s="115"/>
      <c r="K6" s="115"/>
      <c r="L6" s="115"/>
      <c r="M6" s="115"/>
      <c r="N6" s="115"/>
      <c r="O6" s="115"/>
      <c r="P6" s="115"/>
      <c r="Q6" s="115"/>
      <c r="R6" s="115"/>
      <c r="S6" s="115"/>
      <c r="T6" s="115"/>
      <c r="U6" s="115"/>
      <c r="V6" s="115"/>
      <c r="W6" s="115"/>
      <c r="X6" s="115"/>
      <c r="Y6" s="115"/>
      <c r="Z6" s="115"/>
      <c r="AA6" s="115"/>
      <c r="AB6" s="115"/>
      <c r="AC6" s="115"/>
      <c r="AD6" s="115"/>
    </row>
    <row r="7" spans="1:30">
      <c r="A7" s="123"/>
      <c r="B7" s="123"/>
      <c r="C7" s="123"/>
      <c r="D7" s="123"/>
      <c r="E7" s="123"/>
      <c r="F7" s="123"/>
      <c r="G7" s="123"/>
      <c r="H7" s="123"/>
      <c r="I7" s="115"/>
      <c r="J7" s="115"/>
      <c r="K7" s="115"/>
      <c r="L7" s="123"/>
      <c r="M7" s="123"/>
      <c r="N7" s="123"/>
      <c r="O7" s="123"/>
      <c r="P7" s="128"/>
      <c r="Q7" s="128"/>
      <c r="R7" s="128"/>
      <c r="S7" s="115"/>
      <c r="T7" s="115"/>
      <c r="U7" s="115"/>
      <c r="V7" s="115"/>
      <c r="W7" s="115"/>
      <c r="X7" s="115"/>
      <c r="Y7" s="115"/>
      <c r="Z7" s="115"/>
      <c r="AA7" s="115"/>
      <c r="AB7" s="115"/>
      <c r="AC7" s="115"/>
    </row>
    <row r="8" spans="1:30">
      <c r="A8" s="123"/>
      <c r="B8" s="123"/>
      <c r="C8" s="123"/>
      <c r="D8" s="123"/>
      <c r="E8" s="123"/>
      <c r="F8" s="123"/>
      <c r="G8" s="123"/>
      <c r="H8" s="123"/>
      <c r="I8" s="115"/>
      <c r="J8" s="115"/>
      <c r="K8" s="123"/>
      <c r="L8" s="123"/>
      <c r="M8" s="123"/>
      <c r="N8" s="123"/>
      <c r="O8" s="128"/>
      <c r="P8" s="128"/>
      <c r="Q8" s="128"/>
      <c r="R8" s="115"/>
      <c r="S8" s="115"/>
      <c r="T8" s="115"/>
      <c r="U8" s="115"/>
      <c r="V8" s="115"/>
      <c r="W8" s="115"/>
      <c r="X8" s="115"/>
      <c r="Y8" s="115"/>
      <c r="Z8" s="115"/>
      <c r="AA8" s="115"/>
      <c r="AB8" s="115"/>
      <c r="AC8" s="115"/>
    </row>
    <row r="9" spans="1:30" ht="33.75" customHeight="1">
      <c r="A9" s="22" t="s">
        <v>32</v>
      </c>
      <c r="B9" s="129" t="s">
        <v>316</v>
      </c>
      <c r="C9" s="130" t="s">
        <v>317</v>
      </c>
      <c r="D9" s="130" t="s">
        <v>318</v>
      </c>
      <c r="E9" s="130" t="s">
        <v>319</v>
      </c>
      <c r="F9" s="23" t="s">
        <v>32</v>
      </c>
      <c r="G9" s="22" t="s">
        <v>32</v>
      </c>
      <c r="H9" s="22" t="s">
        <v>32</v>
      </c>
      <c r="I9" s="22" t="s">
        <v>32</v>
      </c>
      <c r="J9" s="1529" t="s">
        <v>340</v>
      </c>
      <c r="K9" s="1529" t="s">
        <v>341</v>
      </c>
      <c r="L9" s="1529" t="s">
        <v>342</v>
      </c>
      <c r="Q9" s="22" t="s">
        <v>32</v>
      </c>
      <c r="R9" s="22" t="s">
        <v>32</v>
      </c>
      <c r="S9" s="22" t="s">
        <v>32</v>
      </c>
      <c r="T9" s="115"/>
      <c r="U9" s="115"/>
      <c r="V9" s="115"/>
      <c r="W9" s="115"/>
      <c r="X9" s="115"/>
      <c r="Y9" s="115"/>
      <c r="Z9" s="115"/>
      <c r="AA9" s="115"/>
      <c r="AB9" s="115"/>
      <c r="AC9" s="115"/>
    </row>
    <row r="10" spans="1:30" ht="38.25" customHeight="1">
      <c r="A10" s="233" t="s">
        <v>320</v>
      </c>
      <c r="B10" s="131">
        <v>2304</v>
      </c>
      <c r="C10" s="132">
        <v>1388</v>
      </c>
      <c r="D10" s="132">
        <v>925</v>
      </c>
      <c r="E10" s="133" t="s">
        <v>32</v>
      </c>
      <c r="F10" s="22" t="s">
        <v>32</v>
      </c>
      <c r="G10" s="22" t="s">
        <v>32</v>
      </c>
      <c r="H10" s="22" t="s">
        <v>32</v>
      </c>
      <c r="I10" s="22" t="s">
        <v>32</v>
      </c>
      <c r="J10" s="1530"/>
      <c r="K10" s="1530"/>
      <c r="L10" s="1530"/>
      <c r="Q10" s="22" t="s">
        <v>32</v>
      </c>
      <c r="R10" s="22" t="s">
        <v>32</v>
      </c>
      <c r="S10" s="22" t="s">
        <v>32</v>
      </c>
      <c r="T10" s="115"/>
      <c r="U10" s="115"/>
      <c r="V10" s="115"/>
      <c r="W10" s="115"/>
      <c r="X10" s="115"/>
      <c r="Y10" s="115"/>
      <c r="Z10" s="115"/>
      <c r="AA10" s="115"/>
      <c r="AB10" s="115"/>
      <c r="AC10" s="115"/>
    </row>
    <row r="11" spans="1:30" ht="48" customHeight="1">
      <c r="A11" s="233" t="s">
        <v>321</v>
      </c>
      <c r="B11" s="134">
        <f>ROUND(B10/9600,4)</f>
        <v>0.24</v>
      </c>
      <c r="C11" s="134">
        <f t="shared" ref="C11:D11" si="0">ROUND(C10/9600,4)</f>
        <v>0.14460000000000001</v>
      </c>
      <c r="D11" s="134">
        <f t="shared" si="0"/>
        <v>9.64E-2</v>
      </c>
      <c r="E11" s="133">
        <v>0.2359</v>
      </c>
      <c r="F11" s="22" t="s">
        <v>32</v>
      </c>
      <c r="G11" s="22" t="s">
        <v>32</v>
      </c>
      <c r="H11" s="22" t="s">
        <v>32</v>
      </c>
      <c r="I11" s="233" t="s">
        <v>343</v>
      </c>
      <c r="J11" s="49">
        <v>0.28570000000000001</v>
      </c>
      <c r="K11" s="50">
        <v>2.0199999999999999E-2</v>
      </c>
      <c r="L11" s="50">
        <v>3.2199999999999999E-2</v>
      </c>
      <c r="Q11" s="22" t="s">
        <v>32</v>
      </c>
      <c r="R11" s="22" t="s">
        <v>32</v>
      </c>
      <c r="S11" s="22" t="s">
        <v>32</v>
      </c>
      <c r="T11" s="115"/>
      <c r="U11" s="115"/>
      <c r="V11" s="115"/>
      <c r="W11" s="115"/>
      <c r="X11" s="115"/>
      <c r="Y11" s="115"/>
      <c r="Z11" s="115"/>
      <c r="AA11" s="115"/>
      <c r="AB11" s="115"/>
      <c r="AC11" s="115"/>
    </row>
    <row r="12" spans="1:30">
      <c r="A12" s="22" t="s">
        <v>32</v>
      </c>
      <c r="B12" s="22" t="s">
        <v>32</v>
      </c>
      <c r="C12" s="22" t="s">
        <v>32</v>
      </c>
      <c r="D12" s="22" t="s">
        <v>32</v>
      </c>
      <c r="E12" s="22" t="s">
        <v>32</v>
      </c>
      <c r="F12" s="22" t="s">
        <v>32</v>
      </c>
      <c r="G12" s="22" t="s">
        <v>32</v>
      </c>
      <c r="H12" s="22" t="s">
        <v>32</v>
      </c>
      <c r="I12" s="22" t="s">
        <v>32</v>
      </c>
      <c r="J12" s="22" t="s">
        <v>32</v>
      </c>
      <c r="K12" s="22" t="s">
        <v>32</v>
      </c>
      <c r="L12" s="22" t="s">
        <v>32</v>
      </c>
      <c r="M12" s="22" t="s">
        <v>32</v>
      </c>
      <c r="N12" s="22" t="s">
        <v>32</v>
      </c>
      <c r="O12" s="22" t="s">
        <v>32</v>
      </c>
      <c r="P12" s="22" t="s">
        <v>32</v>
      </c>
      <c r="Q12" s="22" t="s">
        <v>32</v>
      </c>
      <c r="R12" s="22" t="s">
        <v>32</v>
      </c>
      <c r="S12" s="22" t="s">
        <v>32</v>
      </c>
      <c r="T12" s="115"/>
      <c r="U12" s="115"/>
      <c r="V12" s="115"/>
      <c r="W12" s="115"/>
      <c r="X12" s="115"/>
      <c r="Y12" s="115"/>
      <c r="Z12" s="115"/>
      <c r="AA12" s="115"/>
      <c r="AB12" s="115"/>
      <c r="AC12" s="115"/>
    </row>
    <row r="13" spans="1:30" s="54" customFormat="1">
      <c r="A13" s="1531" t="s">
        <v>232</v>
      </c>
      <c r="B13" s="1531" t="s">
        <v>231</v>
      </c>
      <c r="C13" s="1534" t="s">
        <v>344</v>
      </c>
      <c r="D13" s="1534"/>
      <c r="E13" s="1534"/>
      <c r="F13" s="1534"/>
      <c r="G13" s="1534"/>
      <c r="H13" s="1534"/>
      <c r="I13" s="1534"/>
      <c r="J13" s="1534"/>
      <c r="K13" s="1534"/>
      <c r="L13" s="1535"/>
      <c r="M13" s="1534" t="s">
        <v>32</v>
      </c>
      <c r="N13" s="1534"/>
      <c r="O13" s="1534"/>
      <c r="P13" s="1535"/>
      <c r="Q13" s="1531" t="s">
        <v>345</v>
      </c>
      <c r="R13" s="1531" t="s">
        <v>414</v>
      </c>
      <c r="S13" s="1531" t="s">
        <v>233</v>
      </c>
      <c r="T13" s="135"/>
      <c r="U13" s="135"/>
      <c r="V13" s="135"/>
      <c r="W13" s="135"/>
      <c r="X13" s="135"/>
      <c r="Y13" s="135"/>
      <c r="Z13" s="135"/>
      <c r="AA13" s="135"/>
      <c r="AB13" s="135"/>
      <c r="AC13" s="135"/>
    </row>
    <row r="14" spans="1:30" s="54" customFormat="1" ht="69.75" customHeight="1">
      <c r="A14" s="1532"/>
      <c r="B14" s="1532"/>
      <c r="C14" s="1534" t="s">
        <v>347</v>
      </c>
      <c r="D14" s="1534"/>
      <c r="E14" s="1535"/>
      <c r="F14" s="1534" t="s">
        <v>348</v>
      </c>
      <c r="G14" s="1534"/>
      <c r="H14" s="1535"/>
      <c r="I14" s="136" t="s">
        <v>349</v>
      </c>
      <c r="J14" s="1534" t="s">
        <v>350</v>
      </c>
      <c r="K14" s="1534"/>
      <c r="L14" s="1535"/>
      <c r="M14" s="1532" t="s">
        <v>351</v>
      </c>
      <c r="N14" s="1532" t="s">
        <v>352</v>
      </c>
      <c r="O14" s="1532" t="s">
        <v>353</v>
      </c>
      <c r="P14" s="1532" t="s">
        <v>354</v>
      </c>
      <c r="Q14" s="1532"/>
      <c r="R14" s="1532"/>
      <c r="S14" s="1532"/>
      <c r="T14" s="135"/>
      <c r="U14" s="135"/>
      <c r="V14" s="135"/>
      <c r="W14" s="135"/>
      <c r="X14" s="135"/>
      <c r="Y14" s="135"/>
      <c r="Z14" s="135"/>
      <c r="AA14" s="135"/>
      <c r="AB14" s="135"/>
      <c r="AC14" s="135"/>
    </row>
    <row r="15" spans="1:30" s="54" customFormat="1" ht="45">
      <c r="A15" s="1533"/>
      <c r="B15" s="1533"/>
      <c r="C15" s="136" t="s">
        <v>355</v>
      </c>
      <c r="D15" s="136" t="s">
        <v>356</v>
      </c>
      <c r="E15" s="136" t="s">
        <v>357</v>
      </c>
      <c r="F15" s="136" t="s">
        <v>355</v>
      </c>
      <c r="G15" s="136" t="s">
        <v>356</v>
      </c>
      <c r="H15" s="136" t="s">
        <v>358</v>
      </c>
      <c r="I15" s="136" t="s">
        <v>359</v>
      </c>
      <c r="J15" s="136" t="s">
        <v>360</v>
      </c>
      <c r="K15" s="136" t="s">
        <v>361</v>
      </c>
      <c r="L15" s="136" t="s">
        <v>362</v>
      </c>
      <c r="M15" s="1533"/>
      <c r="N15" s="1533"/>
      <c r="O15" s="1533"/>
      <c r="P15" s="1533"/>
      <c r="Q15" s="1533"/>
      <c r="R15" s="1533"/>
      <c r="S15" s="1533"/>
    </row>
    <row r="16" spans="1:30" s="54" customFormat="1" ht="45">
      <c r="A16" s="137" t="s">
        <v>415</v>
      </c>
      <c r="B16" s="138" t="s">
        <v>416</v>
      </c>
      <c r="C16" s="34">
        <v>20</v>
      </c>
      <c r="D16" s="34">
        <v>40</v>
      </c>
      <c r="E16" s="34">
        <v>0</v>
      </c>
      <c r="F16" s="35">
        <f>ROUND((C16*B11),2)</f>
        <v>4.8</v>
      </c>
      <c r="G16" s="35">
        <f>ROUND((D16*C11),2)</f>
        <v>5.78</v>
      </c>
      <c r="H16" s="35">
        <f>ROUND((E16*D11),2)</f>
        <v>0</v>
      </c>
      <c r="I16" s="35">
        <f>ROUND(((F16+G16+H16)*E11),2)</f>
        <v>2.5</v>
      </c>
      <c r="J16" s="39">
        <f>K16+L16</f>
        <v>3.7600000000000002</v>
      </c>
      <c r="K16" s="39">
        <v>0.6</v>
      </c>
      <c r="L16" s="39">
        <v>3.16</v>
      </c>
      <c r="M16" s="35">
        <v>8.39</v>
      </c>
      <c r="N16" s="35">
        <f>ROUND(((F16+G16+H16)*J11),2)</f>
        <v>3.02</v>
      </c>
      <c r="O16" s="35">
        <f>ROUND(((F16+G16+H16)*K11),2)</f>
        <v>0.21</v>
      </c>
      <c r="P16" s="35">
        <f>ROUND(((F16+G16+H16)*L11),2)</f>
        <v>0.34</v>
      </c>
      <c r="Q16" s="139">
        <f>ROUND((F16+G16+H16+I16+J16+M16+N16+O16+P16),2)</f>
        <v>28.8</v>
      </c>
      <c r="R16" s="139">
        <v>4</v>
      </c>
      <c r="S16" s="139">
        <f>Q16-R16</f>
        <v>24.8</v>
      </c>
    </row>
    <row r="17" spans="1:9">
      <c r="A17" s="146" t="s">
        <v>417</v>
      </c>
    </row>
    <row r="20" spans="1:9" ht="15" customHeight="1">
      <c r="A20" s="1523" t="s">
        <v>232</v>
      </c>
      <c r="B20" s="1523" t="s">
        <v>231</v>
      </c>
      <c r="C20" s="1523" t="s">
        <v>249</v>
      </c>
      <c r="D20" s="1523" t="s">
        <v>251</v>
      </c>
      <c r="E20" s="1526" t="s">
        <v>418</v>
      </c>
      <c r="F20" s="1527"/>
      <c r="G20" s="1528"/>
      <c r="H20" s="1523" t="s">
        <v>419</v>
      </c>
    </row>
    <row r="21" spans="1:9" ht="56.25" customHeight="1">
      <c r="A21" s="1525"/>
      <c r="B21" s="1525"/>
      <c r="C21" s="1524"/>
      <c r="D21" s="1525"/>
      <c r="E21" s="4" t="s">
        <v>377</v>
      </c>
      <c r="F21" s="5" t="s">
        <v>378</v>
      </c>
      <c r="G21" s="5" t="s">
        <v>379</v>
      </c>
      <c r="H21" s="1524"/>
    </row>
    <row r="22" spans="1:9" ht="45">
      <c r="A22" s="140" t="s">
        <v>415</v>
      </c>
      <c r="B22" s="141" t="s">
        <v>416</v>
      </c>
      <c r="C22" s="71">
        <f>S16</f>
        <v>24.8</v>
      </c>
      <c r="D22" s="142">
        <v>1</v>
      </c>
      <c r="E22" s="143">
        <v>3350</v>
      </c>
      <c r="F22" s="143">
        <v>0</v>
      </c>
      <c r="G22" s="143">
        <v>0</v>
      </c>
      <c r="H22" s="144">
        <f>C22*E22</f>
        <v>83080</v>
      </c>
    </row>
    <row r="23" spans="1:9">
      <c r="A23" s="51" t="s">
        <v>420</v>
      </c>
      <c r="B23" s="123"/>
      <c r="C23" s="123"/>
      <c r="D23" s="123"/>
      <c r="E23" s="123"/>
      <c r="F23" s="145"/>
      <c r="G23" s="145"/>
      <c r="H23" s="145"/>
      <c r="I23" s="115"/>
    </row>
    <row r="24" spans="1:9">
      <c r="B24" s="123"/>
      <c r="C24" s="123"/>
      <c r="D24" s="123"/>
      <c r="E24" s="123"/>
      <c r="F24" s="123"/>
      <c r="G24" s="123"/>
      <c r="H24" s="123"/>
      <c r="I24" s="115"/>
    </row>
  </sheetData>
  <mergeCells count="23">
    <mergeCell ref="M13:P13"/>
    <mergeCell ref="Q13:Q15"/>
    <mergeCell ref="R13:R15"/>
    <mergeCell ref="S13:S15"/>
    <mergeCell ref="C14:E14"/>
    <mergeCell ref="F14:H14"/>
    <mergeCell ref="J14:L14"/>
    <mergeCell ref="M14:M15"/>
    <mergeCell ref="N14:N15"/>
    <mergeCell ref="O14:O15"/>
    <mergeCell ref="P14:P15"/>
    <mergeCell ref="J9:J10"/>
    <mergeCell ref="K9:K10"/>
    <mergeCell ref="L9:L10"/>
    <mergeCell ref="A13:A15"/>
    <mergeCell ref="B13:B15"/>
    <mergeCell ref="C13:L13"/>
    <mergeCell ref="H20:H21"/>
    <mergeCell ref="A20:A21"/>
    <mergeCell ref="B20:B21"/>
    <mergeCell ref="C20:C21"/>
    <mergeCell ref="D20:D21"/>
    <mergeCell ref="E20:G20"/>
  </mergeCells>
  <pageMargins left="0.7" right="0.7" top="0.75" bottom="0.75" header="0.3" footer="0.3"/>
  <pageSetup paperSize="9" scale="2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66DC0-26E7-4616-A43D-48B94D1002BE}">
  <sheetPr>
    <tabColor theme="7" tint="0.79998168889431442"/>
  </sheetPr>
  <dimension ref="A1:AH29"/>
  <sheetViews>
    <sheetView view="pageBreakPreview" zoomScale="60" zoomScaleNormal="80" workbookViewId="0">
      <selection activeCell="E5" sqref="E5"/>
    </sheetView>
  </sheetViews>
  <sheetFormatPr defaultColWidth="9.140625" defaultRowHeight="15"/>
  <cols>
    <col min="1" max="1" width="13.5703125" style="382" customWidth="1"/>
    <col min="2" max="2" width="44" style="382" customWidth="1"/>
    <col min="3" max="3" width="36.7109375" style="382" customWidth="1"/>
    <col min="4" max="4" width="22.5703125" style="382" customWidth="1"/>
    <col min="5" max="5" width="26.5703125" style="382" customWidth="1"/>
    <col min="6" max="6" width="37.140625" style="382" customWidth="1"/>
    <col min="7" max="7" width="16.42578125" style="382" customWidth="1"/>
    <col min="8" max="8" width="14.7109375" style="382" customWidth="1"/>
    <col min="9" max="9" width="21.85546875" style="382" customWidth="1"/>
    <col min="10" max="10" width="14.28515625" style="382" customWidth="1"/>
    <col min="11" max="11" width="12.7109375" style="382" customWidth="1"/>
    <col min="12" max="12" width="13.42578125" style="382" customWidth="1"/>
    <col min="13" max="13" width="11" style="382" customWidth="1"/>
    <col min="14" max="14" width="15.5703125" style="382" customWidth="1"/>
    <col min="15" max="15" width="18.140625" style="382" customWidth="1"/>
    <col min="16" max="16" width="13.85546875" style="382" customWidth="1"/>
    <col min="17" max="17" width="44.7109375" style="382" customWidth="1"/>
    <col min="18" max="21" width="12.5703125" style="382" customWidth="1"/>
    <col min="22" max="22" width="13.140625" style="382" customWidth="1"/>
    <col min="23" max="16384" width="9.140625" style="382"/>
  </cols>
  <sheetData>
    <row r="1" spans="1:34">
      <c r="O1" s="168" t="s">
        <v>874</v>
      </c>
    </row>
    <row r="3" spans="1:34" ht="15.75">
      <c r="D3" s="1075" t="s">
        <v>817</v>
      </c>
    </row>
    <row r="5" spans="1:34" ht="60">
      <c r="B5" s="102"/>
      <c r="C5" s="103" t="s">
        <v>227</v>
      </c>
      <c r="D5" s="103" t="s">
        <v>228</v>
      </c>
      <c r="E5" s="103" t="s">
        <v>339</v>
      </c>
      <c r="F5" s="398"/>
      <c r="G5" s="384"/>
      <c r="H5" s="384"/>
      <c r="I5" s="384"/>
      <c r="J5" s="384"/>
      <c r="K5" s="384"/>
    </row>
    <row r="6" spans="1:34" ht="28.5">
      <c r="B6" s="104" t="s">
        <v>86</v>
      </c>
      <c r="C6" s="746">
        <f>ROUND(I23*C23,0)</f>
        <v>534</v>
      </c>
      <c r="D6" s="747">
        <f>ROUND(P25,0)</f>
        <v>4560</v>
      </c>
      <c r="E6" s="747">
        <f>ROUND(D6,0)</f>
        <v>4560</v>
      </c>
      <c r="F6" s="399"/>
    </row>
    <row r="7" spans="1:34" ht="28.5">
      <c r="B7" s="105" t="s">
        <v>82</v>
      </c>
      <c r="C7" s="746">
        <f>ROUND(C23*K23,0)</f>
        <v>1992</v>
      </c>
      <c r="D7" s="747">
        <f>ROUND(N25,0)</f>
        <v>10588</v>
      </c>
      <c r="E7" s="747">
        <f>ROUND(D7,0)</f>
        <v>10588</v>
      </c>
      <c r="F7" s="399"/>
    </row>
    <row r="8" spans="1:34" ht="15.75" customHeight="1">
      <c r="A8" s="88"/>
      <c r="B8" s="88"/>
      <c r="C8" s="88"/>
      <c r="D8" s="88"/>
      <c r="E8" s="88"/>
      <c r="F8" s="400"/>
      <c r="G8" s="88"/>
      <c r="H8" s="88"/>
      <c r="I8" s="88"/>
      <c r="J8" s="88"/>
      <c r="K8" s="88"/>
      <c r="L8" s="88"/>
      <c r="M8" s="88"/>
      <c r="N8" s="88"/>
      <c r="O8" s="88"/>
      <c r="P8" s="88"/>
      <c r="Q8" s="88"/>
      <c r="R8" s="88"/>
      <c r="S8" s="88"/>
      <c r="T8" s="88"/>
      <c r="U8" s="88"/>
      <c r="V8" s="88"/>
      <c r="W8" s="88"/>
      <c r="X8" s="88"/>
      <c r="Y8" s="88"/>
      <c r="Z8" s="88"/>
      <c r="AA8" s="88"/>
      <c r="AB8" s="88"/>
      <c r="AC8" s="88"/>
      <c r="AD8" s="88"/>
      <c r="AE8" s="88"/>
      <c r="AF8" s="88"/>
      <c r="AG8" s="88"/>
      <c r="AH8" s="88"/>
    </row>
    <row r="9" spans="1:34" ht="15.75" customHeight="1">
      <c r="A9" s="88"/>
      <c r="B9" s="88"/>
      <c r="C9" s="88"/>
      <c r="D9" s="88"/>
      <c r="E9" s="88"/>
      <c r="F9" s="88"/>
      <c r="G9" s="88"/>
      <c r="H9" s="88"/>
      <c r="I9" s="88"/>
      <c r="J9" s="88"/>
      <c r="K9" s="88"/>
      <c r="L9" s="88"/>
      <c r="M9" s="88"/>
      <c r="N9" s="88"/>
      <c r="O9" s="88"/>
      <c r="P9" s="88"/>
      <c r="Q9" s="89"/>
      <c r="R9" s="89"/>
      <c r="S9" s="89"/>
      <c r="T9" s="88"/>
      <c r="U9" s="88"/>
      <c r="V9" s="88"/>
      <c r="W9" s="88"/>
      <c r="X9" s="88"/>
      <c r="Y9" s="88"/>
      <c r="Z9" s="88"/>
      <c r="AA9" s="88"/>
      <c r="AB9" s="88"/>
      <c r="AC9" s="88"/>
      <c r="AD9" s="88"/>
      <c r="AE9" s="88"/>
      <c r="AF9" s="88"/>
      <c r="AG9" s="88"/>
      <c r="AH9" s="88"/>
    </row>
    <row r="10" spans="1:34" ht="31.5" customHeight="1">
      <c r="A10" s="88"/>
      <c r="B10" s="88"/>
      <c r="C10" s="88"/>
      <c r="D10" s="88"/>
      <c r="E10" s="88"/>
      <c r="F10" s="90" t="s">
        <v>316</v>
      </c>
      <c r="G10" s="90" t="s">
        <v>317</v>
      </c>
      <c r="H10" s="90" t="s">
        <v>318</v>
      </c>
      <c r="I10" s="90" t="s">
        <v>319</v>
      </c>
      <c r="J10" s="91"/>
      <c r="K10" s="88"/>
      <c r="L10" s="88"/>
      <c r="M10" s="88"/>
      <c r="N10" s="1548" t="s">
        <v>340</v>
      </c>
      <c r="O10" s="1548" t="s">
        <v>341</v>
      </c>
      <c r="P10" s="1548" t="s">
        <v>342</v>
      </c>
      <c r="Q10" s="88"/>
      <c r="R10" s="88"/>
      <c r="S10" s="88"/>
      <c r="T10" s="88"/>
      <c r="U10" s="88"/>
      <c r="V10" s="88"/>
      <c r="W10" s="88"/>
      <c r="X10" s="88"/>
      <c r="Y10" s="88"/>
      <c r="Z10" s="88"/>
      <c r="AA10" s="88"/>
      <c r="AB10" s="88"/>
      <c r="AC10" s="88"/>
      <c r="AD10" s="88"/>
      <c r="AE10" s="88"/>
      <c r="AF10" s="88"/>
      <c r="AG10" s="88"/>
      <c r="AH10" s="88"/>
    </row>
    <row r="11" spans="1:34" ht="25.5" customHeight="1">
      <c r="A11" s="88"/>
      <c r="B11" s="88"/>
      <c r="C11" s="88"/>
      <c r="D11" s="88"/>
      <c r="E11" s="89" t="s">
        <v>320</v>
      </c>
      <c r="F11" s="385">
        <v>2304</v>
      </c>
      <c r="G11" s="385">
        <v>1388</v>
      </c>
      <c r="H11" s="385">
        <v>925</v>
      </c>
      <c r="I11" s="90"/>
      <c r="J11" s="88"/>
      <c r="K11" s="88"/>
      <c r="L11" s="88"/>
      <c r="M11" s="88"/>
      <c r="N11" s="1549"/>
      <c r="O11" s="1549"/>
      <c r="P11" s="1549"/>
      <c r="Q11" s="88"/>
      <c r="R11" s="88"/>
      <c r="S11" s="88"/>
      <c r="T11" s="88"/>
      <c r="U11" s="88"/>
      <c r="V11" s="88"/>
      <c r="W11" s="88"/>
      <c r="X11" s="88"/>
      <c r="Y11" s="88"/>
      <c r="Z11" s="88"/>
      <c r="AA11" s="88"/>
      <c r="AB11" s="88"/>
      <c r="AC11" s="88"/>
      <c r="AD11" s="88"/>
      <c r="AE11" s="88"/>
      <c r="AF11" s="88"/>
      <c r="AG11" s="88"/>
      <c r="AH11" s="88"/>
    </row>
    <row r="12" spans="1:34" ht="15.75" customHeight="1">
      <c r="A12" s="88"/>
      <c r="B12" s="88"/>
      <c r="C12" s="88"/>
      <c r="D12" s="88"/>
      <c r="E12" s="89" t="s">
        <v>321</v>
      </c>
      <c r="F12" s="386">
        <f>ROUND(F11/9600,4)</f>
        <v>0.24</v>
      </c>
      <c r="G12" s="386">
        <f t="shared" ref="G12:H12" si="0">ROUND(G11/9600,4)</f>
        <v>0.14460000000000001</v>
      </c>
      <c r="H12" s="386">
        <f t="shared" si="0"/>
        <v>9.64E-2</v>
      </c>
      <c r="I12" s="90">
        <v>0.2359</v>
      </c>
      <c r="J12" s="88"/>
      <c r="K12" s="88"/>
      <c r="L12" s="88"/>
      <c r="M12" s="89" t="s">
        <v>343</v>
      </c>
      <c r="N12" s="90">
        <v>0.28570000000000001</v>
      </c>
      <c r="O12" s="90">
        <v>2.0199999999999999E-2</v>
      </c>
      <c r="P12" s="90">
        <v>3.2199999999999999E-2</v>
      </c>
      <c r="Q12" s="88"/>
      <c r="R12" s="88"/>
      <c r="S12" s="88"/>
      <c r="T12" s="88"/>
      <c r="U12" s="88"/>
      <c r="V12" s="88"/>
      <c r="W12" s="88"/>
      <c r="X12" s="88"/>
      <c r="Y12" s="88"/>
      <c r="Z12" s="88"/>
      <c r="AA12" s="88"/>
      <c r="AB12" s="88"/>
      <c r="AC12" s="88"/>
      <c r="AD12" s="88"/>
      <c r="AE12" s="88"/>
      <c r="AF12" s="88"/>
      <c r="AG12" s="88"/>
      <c r="AH12" s="88"/>
    </row>
    <row r="13" spans="1:34" ht="15.75" customHeight="1">
      <c r="A13" s="88" t="s">
        <v>383</v>
      </c>
      <c r="B13" s="88"/>
      <c r="C13" s="88"/>
      <c r="D13" s="88"/>
      <c r="E13" s="88"/>
      <c r="F13" s="88"/>
      <c r="G13" s="88"/>
      <c r="H13" s="88"/>
      <c r="I13" s="88"/>
      <c r="J13" s="88"/>
      <c r="K13" s="88"/>
      <c r="L13" s="88"/>
      <c r="M13" s="88"/>
      <c r="N13" s="88"/>
      <c r="O13" s="88"/>
      <c r="P13" s="88"/>
      <c r="Q13" s="88"/>
      <c r="R13" s="88"/>
      <c r="S13" s="88"/>
      <c r="T13" s="88"/>
      <c r="U13" s="88"/>
      <c r="V13" s="88"/>
      <c r="W13" s="88"/>
      <c r="X13" s="88"/>
      <c r="Y13" s="88"/>
      <c r="Z13" s="88"/>
      <c r="AA13" s="88"/>
      <c r="AB13" s="88"/>
      <c r="AC13" s="88"/>
      <c r="AD13" s="88"/>
      <c r="AE13" s="88"/>
      <c r="AF13" s="88"/>
      <c r="AG13" s="88"/>
      <c r="AH13" s="88"/>
    </row>
    <row r="14" spans="1:34" ht="21.75" customHeight="1">
      <c r="A14" s="1544" t="s">
        <v>232</v>
      </c>
      <c r="B14" s="1544" t="s">
        <v>231</v>
      </c>
      <c r="C14" s="1544" t="s">
        <v>344</v>
      </c>
      <c r="D14" s="1544"/>
      <c r="E14" s="1544"/>
      <c r="F14" s="1544"/>
      <c r="G14" s="1544"/>
      <c r="H14" s="1544"/>
      <c r="I14" s="1544"/>
      <c r="J14" s="1544"/>
      <c r="K14" s="1544"/>
      <c r="L14" s="1544"/>
      <c r="M14" s="1544"/>
      <c r="N14" s="1544"/>
      <c r="O14" s="1544"/>
      <c r="P14" s="1544"/>
      <c r="Q14" s="1544" t="s">
        <v>345</v>
      </c>
      <c r="R14" s="1544" t="s">
        <v>346</v>
      </c>
      <c r="S14" s="1544" t="s">
        <v>233</v>
      </c>
      <c r="T14" s="107"/>
      <c r="U14" s="107"/>
      <c r="V14" s="107"/>
      <c r="W14" s="107"/>
      <c r="X14" s="107"/>
      <c r="Y14" s="107"/>
      <c r="Z14" s="107"/>
      <c r="AA14" s="107"/>
      <c r="AB14" s="107"/>
      <c r="AC14" s="107"/>
      <c r="AD14" s="107"/>
      <c r="AE14" s="88"/>
      <c r="AF14" s="88"/>
      <c r="AG14" s="88"/>
      <c r="AH14" s="88"/>
    </row>
    <row r="15" spans="1:34" ht="51" customHeight="1">
      <c r="A15" s="1544"/>
      <c r="B15" s="1544"/>
      <c r="C15" s="1544" t="s">
        <v>347</v>
      </c>
      <c r="D15" s="1544"/>
      <c r="E15" s="1544"/>
      <c r="F15" s="1545" t="s">
        <v>348</v>
      </c>
      <c r="G15" s="1546"/>
      <c r="H15" s="1547"/>
      <c r="I15" s="106" t="s">
        <v>384</v>
      </c>
      <c r="J15" s="1544" t="s">
        <v>350</v>
      </c>
      <c r="K15" s="1544"/>
      <c r="L15" s="1544"/>
      <c r="M15" s="1544" t="s">
        <v>351</v>
      </c>
      <c r="N15" s="1544" t="s">
        <v>352</v>
      </c>
      <c r="O15" s="1544" t="s">
        <v>353</v>
      </c>
      <c r="P15" s="1544" t="s">
        <v>354</v>
      </c>
      <c r="Q15" s="1544"/>
      <c r="R15" s="1544"/>
      <c r="S15" s="1544"/>
      <c r="T15" s="107"/>
      <c r="U15" s="107"/>
      <c r="V15" s="107"/>
      <c r="W15" s="107"/>
      <c r="X15" s="107"/>
      <c r="Y15" s="107"/>
      <c r="Z15" s="108"/>
      <c r="AA15" s="108"/>
      <c r="AB15" s="108"/>
      <c r="AC15" s="108"/>
      <c r="AD15" s="108"/>
      <c r="AE15" s="88"/>
      <c r="AF15" s="88"/>
      <c r="AG15" s="88"/>
      <c r="AH15" s="88"/>
    </row>
    <row r="16" spans="1:34" ht="45" customHeight="1">
      <c r="A16" s="1544"/>
      <c r="B16" s="1544"/>
      <c r="C16" s="106" t="s">
        <v>355</v>
      </c>
      <c r="D16" s="405" t="s">
        <v>356</v>
      </c>
      <c r="E16" s="405" t="s">
        <v>357</v>
      </c>
      <c r="F16" s="106" t="s">
        <v>355</v>
      </c>
      <c r="G16" s="106" t="s">
        <v>356</v>
      </c>
      <c r="H16" s="106" t="s">
        <v>358</v>
      </c>
      <c r="I16" s="106" t="s">
        <v>359</v>
      </c>
      <c r="J16" s="106" t="s">
        <v>360</v>
      </c>
      <c r="K16" s="109" t="s">
        <v>361</v>
      </c>
      <c r="L16" s="106" t="s">
        <v>362</v>
      </c>
      <c r="M16" s="1544"/>
      <c r="N16" s="1544"/>
      <c r="O16" s="1544"/>
      <c r="P16" s="1544"/>
      <c r="Q16" s="1544"/>
      <c r="R16" s="1544"/>
      <c r="S16" s="1544"/>
      <c r="T16" s="108" t="s">
        <v>385</v>
      </c>
      <c r="U16" s="108" t="s">
        <v>386</v>
      </c>
      <c r="V16" s="108" t="s">
        <v>387</v>
      </c>
      <c r="W16" s="108" t="s">
        <v>388</v>
      </c>
      <c r="X16" s="108" t="s">
        <v>389</v>
      </c>
      <c r="Y16" s="108" t="s">
        <v>390</v>
      </c>
      <c r="Z16" s="108" t="s">
        <v>391</v>
      </c>
      <c r="AA16" s="108" t="s">
        <v>392</v>
      </c>
      <c r="AB16" s="110" t="s">
        <v>393</v>
      </c>
      <c r="AC16" s="110" t="s">
        <v>394</v>
      </c>
      <c r="AD16" s="108" t="s">
        <v>395</v>
      </c>
      <c r="AE16" s="88"/>
      <c r="AF16" s="88"/>
      <c r="AG16" s="88"/>
      <c r="AH16" s="88"/>
    </row>
    <row r="17" spans="1:34" ht="33" customHeight="1">
      <c r="A17" s="387" t="s">
        <v>396</v>
      </c>
      <c r="B17" s="388" t="s">
        <v>397</v>
      </c>
      <c r="C17" s="403">
        <v>75</v>
      </c>
      <c r="D17" s="406">
        <v>75</v>
      </c>
      <c r="E17" s="406">
        <v>0</v>
      </c>
      <c r="F17" s="404">
        <f t="shared" ref="F17" si="1">ROUND((C17*$F$12),2)</f>
        <v>18</v>
      </c>
      <c r="G17" s="93">
        <f t="shared" ref="G17" si="2">ROUND((D17*$G$12),2)</f>
        <v>10.85</v>
      </c>
      <c r="H17" s="93">
        <f t="shared" ref="H17" si="3">ROUND((E17*$H$12),2)</f>
        <v>0</v>
      </c>
      <c r="I17" s="94">
        <f t="shared" ref="I17" si="4">ROUND(((F17+G17+H17)*$I$12),2)</f>
        <v>6.81</v>
      </c>
      <c r="J17" s="95">
        <f>K17+L17</f>
        <v>3.98</v>
      </c>
      <c r="K17" s="95">
        <v>0.27</v>
      </c>
      <c r="L17" s="95">
        <v>3.71</v>
      </c>
      <c r="M17" s="94">
        <v>5.67</v>
      </c>
      <c r="N17" s="94">
        <f>ROUND((F17+G17+H17)*$N$12,2)</f>
        <v>8.24</v>
      </c>
      <c r="O17" s="94">
        <f t="shared" ref="O17" si="5">ROUND((F17+G17+H17)*$O$12,2)</f>
        <v>0.57999999999999996</v>
      </c>
      <c r="P17" s="94">
        <f t="shared" ref="P17" si="6">ROUND((F17+G17+H17)*$P$12,2)</f>
        <v>0.93</v>
      </c>
      <c r="Q17" s="96">
        <f t="shared" ref="Q17" si="7">ROUND((F17+G17+H17+I17+J17+M17+N17+O17+P17),2)</f>
        <v>55.06</v>
      </c>
      <c r="R17" s="96">
        <v>0</v>
      </c>
      <c r="S17" s="401">
        <f t="shared" ref="S17" si="8">Q17-R17</f>
        <v>55.06</v>
      </c>
      <c r="T17" s="95">
        <f t="shared" ref="T17" si="9">F17+G17+H17</f>
        <v>28.85</v>
      </c>
      <c r="U17" s="95">
        <f t="shared" ref="U17:V17" si="10">I17</f>
        <v>6.81</v>
      </c>
      <c r="V17" s="97">
        <f t="shared" si="10"/>
        <v>3.98</v>
      </c>
      <c r="W17" s="92"/>
      <c r="X17" s="97">
        <f t="shared" ref="X17:Y17" si="11">N17</f>
        <v>8.24</v>
      </c>
      <c r="Y17" s="97">
        <f t="shared" si="11"/>
        <v>0.57999999999999996</v>
      </c>
      <c r="Z17" s="97">
        <f t="shared" ref="Z17" si="12">M17+P17</f>
        <v>6.6</v>
      </c>
      <c r="AA17" s="92"/>
      <c r="AB17" s="97">
        <f t="shared" ref="AB17" si="13">SUM(T17:AA17)</f>
        <v>55.06</v>
      </c>
      <c r="AC17" s="97">
        <f t="shared" ref="AC17" si="14">R17</f>
        <v>0</v>
      </c>
      <c r="AD17" s="97">
        <f t="shared" ref="AD17" si="15">AB17-AC17</f>
        <v>55.06</v>
      </c>
      <c r="AE17" s="98"/>
      <c r="AF17" s="98"/>
      <c r="AG17" s="98"/>
      <c r="AH17" s="98"/>
    </row>
    <row r="18" spans="1:34">
      <c r="B18" s="87"/>
      <c r="C18" s="389"/>
      <c r="D18" s="397"/>
      <c r="E18" s="402"/>
    </row>
    <row r="19" spans="1:34">
      <c r="B19" s="87"/>
      <c r="C19" s="389"/>
    </row>
    <row r="20" spans="1:34">
      <c r="A20" s="380" t="s">
        <v>398</v>
      </c>
      <c r="C20" s="389"/>
      <c r="D20" s="397"/>
      <c r="E20" s="402"/>
    </row>
    <row r="21" spans="1:34" ht="75.75" customHeight="1">
      <c r="A21" s="111" t="s">
        <v>232</v>
      </c>
      <c r="B21" s="112" t="s">
        <v>231</v>
      </c>
      <c r="C21" s="111" t="s">
        <v>399</v>
      </c>
      <c r="D21" s="111" t="s">
        <v>400</v>
      </c>
      <c r="E21" s="111" t="s">
        <v>401</v>
      </c>
      <c r="F21" s="113" t="s">
        <v>402</v>
      </c>
      <c r="G21" s="111" t="s">
        <v>251</v>
      </c>
      <c r="H21" s="111" t="s">
        <v>403</v>
      </c>
      <c r="I21" s="1539" t="s">
        <v>404</v>
      </c>
      <c r="J21" s="1539"/>
      <c r="K21" s="1539"/>
      <c r="L21" s="1540" t="s">
        <v>405</v>
      </c>
      <c r="M21" s="1541"/>
      <c r="N21" s="1538" t="s">
        <v>406</v>
      </c>
      <c r="O21" s="1538"/>
      <c r="P21" s="1538"/>
    </row>
    <row r="22" spans="1:34" ht="39.75" customHeight="1">
      <c r="A22" s="112"/>
      <c r="B22" s="112"/>
      <c r="C22" s="111"/>
      <c r="D22" s="111"/>
      <c r="E22" s="111"/>
      <c r="F22" s="111"/>
      <c r="G22" s="111"/>
      <c r="H22" s="111"/>
      <c r="I22" s="111" t="s">
        <v>377</v>
      </c>
      <c r="J22" s="111" t="s">
        <v>378</v>
      </c>
      <c r="K22" s="111" t="s">
        <v>379</v>
      </c>
      <c r="L22" s="1542"/>
      <c r="M22" s="1543"/>
      <c r="N22" s="381" t="s">
        <v>377</v>
      </c>
      <c r="O22" s="381" t="s">
        <v>378</v>
      </c>
      <c r="P22" s="125" t="s">
        <v>379</v>
      </c>
    </row>
    <row r="23" spans="1:34" ht="99.75" customHeight="1">
      <c r="A23" s="387" t="s">
        <v>396</v>
      </c>
      <c r="B23" s="388" t="s">
        <v>407</v>
      </c>
      <c r="C23" s="99">
        <v>35.58</v>
      </c>
      <c r="D23" s="100">
        <f>S17</f>
        <v>55.06</v>
      </c>
      <c r="E23" s="99">
        <f>D23-C23</f>
        <v>19.480000000000004</v>
      </c>
      <c r="F23" s="101">
        <f>I23+J23+K23</f>
        <v>71</v>
      </c>
      <c r="G23" s="101">
        <v>1</v>
      </c>
      <c r="H23" s="1078">
        <f>E23*F23*G23</f>
        <v>1383.0800000000004</v>
      </c>
      <c r="I23" s="101">
        <v>15</v>
      </c>
      <c r="J23" s="101">
        <v>0</v>
      </c>
      <c r="K23" s="101">
        <v>56</v>
      </c>
      <c r="L23" s="1536" t="s">
        <v>408</v>
      </c>
      <c r="M23" s="1537"/>
      <c r="N23" s="394">
        <f>I23*E23</f>
        <v>292.20000000000005</v>
      </c>
      <c r="O23" s="394">
        <v>0</v>
      </c>
      <c r="P23" s="394">
        <f>E23*K23</f>
        <v>1090.8800000000001</v>
      </c>
    </row>
    <row r="24" spans="1:34" ht="99.75" customHeight="1">
      <c r="A24" s="387" t="s">
        <v>396</v>
      </c>
      <c r="B24" s="388" t="s">
        <v>409</v>
      </c>
      <c r="C24" s="99">
        <v>0</v>
      </c>
      <c r="D24" s="100">
        <f>S17</f>
        <v>55.06</v>
      </c>
      <c r="E24" s="99">
        <f>D24-C24</f>
        <v>55.06</v>
      </c>
      <c r="F24" s="101">
        <f>I24+J24+K24</f>
        <v>250</v>
      </c>
      <c r="G24" s="101">
        <v>1</v>
      </c>
      <c r="H24" s="1078">
        <f>E24*F24*G24</f>
        <v>13765</v>
      </c>
      <c r="I24" s="101">
        <f>ROUNDDOWN(250*0.75,0)</f>
        <v>187</v>
      </c>
      <c r="J24" s="101">
        <v>0</v>
      </c>
      <c r="K24" s="101">
        <f>ROUND(250*0.25,0)</f>
        <v>63</v>
      </c>
      <c r="L24" s="1536" t="s">
        <v>410</v>
      </c>
      <c r="M24" s="1537"/>
      <c r="N24" s="394">
        <f>I24*E24</f>
        <v>10296.220000000001</v>
      </c>
      <c r="O24" s="394">
        <v>0</v>
      </c>
      <c r="P24" s="394">
        <f>K24*E24</f>
        <v>3468.78</v>
      </c>
    </row>
    <row r="25" spans="1:34">
      <c r="B25" s="390"/>
      <c r="C25" s="391"/>
      <c r="D25" s="392"/>
      <c r="E25" s="392"/>
      <c r="F25" s="393">
        <f>SUM(F23:F24)</f>
        <v>321</v>
      </c>
      <c r="G25" s="1076" t="s">
        <v>411</v>
      </c>
      <c r="H25" s="1077">
        <f>SUM(H23:H24)</f>
        <v>15148.08</v>
      </c>
      <c r="J25" s="392"/>
      <c r="K25" s="393"/>
      <c r="L25" s="393"/>
      <c r="M25" s="393"/>
      <c r="N25" s="395">
        <f>N23+N24</f>
        <v>10588.420000000002</v>
      </c>
      <c r="O25" s="395"/>
      <c r="P25" s="396">
        <f>P23+P24</f>
        <v>4559.66</v>
      </c>
    </row>
    <row r="26" spans="1:34">
      <c r="A26" s="382" t="s">
        <v>412</v>
      </c>
    </row>
    <row r="27" spans="1:34">
      <c r="A27" s="382" t="s">
        <v>413</v>
      </c>
      <c r="D27" s="383"/>
    </row>
    <row r="28" spans="1:34">
      <c r="D28" s="383"/>
    </row>
    <row r="29" spans="1:34">
      <c r="D29" s="383"/>
    </row>
  </sheetData>
  <mergeCells count="22">
    <mergeCell ref="N10:N11"/>
    <mergeCell ref="O10:O11"/>
    <mergeCell ref="P10:P11"/>
    <mergeCell ref="A14:A16"/>
    <mergeCell ref="B14:B16"/>
    <mergeCell ref="C14:L14"/>
    <mergeCell ref="M14:P14"/>
    <mergeCell ref="Q14:Q16"/>
    <mergeCell ref="R14:R16"/>
    <mergeCell ref="S14:S16"/>
    <mergeCell ref="C15:E15"/>
    <mergeCell ref="F15:H15"/>
    <mergeCell ref="J15:L15"/>
    <mergeCell ref="M15:M16"/>
    <mergeCell ref="N15:N16"/>
    <mergeCell ref="O15:O16"/>
    <mergeCell ref="P15:P16"/>
    <mergeCell ref="L24:M24"/>
    <mergeCell ref="L23:M23"/>
    <mergeCell ref="N21:P21"/>
    <mergeCell ref="I21:K21"/>
    <mergeCell ref="L21:M22"/>
  </mergeCells>
  <pageMargins left="0.7" right="0.7" top="0.75" bottom="0.75" header="0.3" footer="0.3"/>
  <pageSetup paperSize="9" scale="17" orientation="portrait" r:id="rId1"/>
  <colBreaks count="1" manualBreakCount="1">
    <brk id="30"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13C45-6013-4F58-8A47-BFEC3B66A5B6}">
  <sheetPr>
    <tabColor theme="7" tint="0.79998168889431442"/>
  </sheetPr>
  <dimension ref="A1:K17"/>
  <sheetViews>
    <sheetView view="pageBreakPreview" zoomScale="60" zoomScaleNormal="100" workbookViewId="0">
      <selection activeCell="A5" sqref="A5"/>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1">
      <c r="B1" s="986"/>
      <c r="J1" s="168" t="s">
        <v>875</v>
      </c>
    </row>
    <row r="2" spans="1:11" ht="33.75" customHeight="1">
      <c r="A2" s="1461" t="s">
        <v>781</v>
      </c>
      <c r="B2" s="1461"/>
      <c r="C2" s="1461"/>
      <c r="D2" s="987"/>
    </row>
    <row r="3" spans="1:11">
      <c r="A3" s="1462" t="s">
        <v>1</v>
      </c>
      <c r="B3" s="1518" t="s">
        <v>794</v>
      </c>
      <c r="C3" s="1518"/>
      <c r="D3" s="987"/>
    </row>
    <row r="4" spans="1:11">
      <c r="A4" s="1463"/>
      <c r="B4" s="988" t="s">
        <v>765</v>
      </c>
      <c r="C4" s="989" t="s">
        <v>766</v>
      </c>
      <c r="D4" s="990"/>
    </row>
    <row r="5" spans="1:11" ht="38.25">
      <c r="A5" s="991" t="s">
        <v>781</v>
      </c>
      <c r="B5" s="992">
        <v>0</v>
      </c>
      <c r="C5" s="992">
        <f>27900*1.21</f>
        <v>33759</v>
      </c>
      <c r="D5" s="990"/>
    </row>
    <row r="6" spans="1:11" ht="59.25" customHeight="1">
      <c r="A6" s="1460" t="s">
        <v>767</v>
      </c>
      <c r="B6" s="1460"/>
      <c r="C6" s="1460"/>
      <c r="D6" s="990"/>
    </row>
    <row r="7" spans="1:11">
      <c r="A7" s="1466"/>
      <c r="B7" s="1466"/>
      <c r="C7" s="1466"/>
    </row>
    <row r="11" spans="1:11">
      <c r="A11" s="1459" t="s">
        <v>781</v>
      </c>
      <c r="B11" s="1459"/>
      <c r="C11" s="1459"/>
      <c r="D11" s="1459"/>
      <c r="E11" s="1459"/>
      <c r="F11" s="1459"/>
      <c r="G11" s="1459"/>
      <c r="H11" s="1459"/>
      <c r="I11" s="1459"/>
      <c r="J11" s="1459"/>
      <c r="K11" s="1459"/>
    </row>
    <row r="12" spans="1:11" ht="63.75">
      <c r="A12" s="993"/>
      <c r="B12" s="994" t="s">
        <v>1</v>
      </c>
      <c r="C12" s="994" t="s">
        <v>2</v>
      </c>
      <c r="D12" s="988" t="s">
        <v>3</v>
      </c>
      <c r="E12" s="988" t="s">
        <v>768</v>
      </c>
      <c r="F12" s="988" t="s">
        <v>769</v>
      </c>
      <c r="G12" s="988" t="s">
        <v>770</v>
      </c>
      <c r="H12" s="988" t="s">
        <v>771</v>
      </c>
      <c r="I12" s="988" t="s">
        <v>772</v>
      </c>
      <c r="J12" s="988" t="s">
        <v>773</v>
      </c>
      <c r="K12" s="988" t="s">
        <v>774</v>
      </c>
    </row>
    <row r="13" spans="1:11" ht="12.75" customHeight="1">
      <c r="A13" s="1519" t="s">
        <v>776</v>
      </c>
      <c r="B13" s="1519" t="s">
        <v>780</v>
      </c>
      <c r="C13" s="1521"/>
      <c r="D13" s="1521"/>
      <c r="E13" s="994" t="s">
        <v>777</v>
      </c>
      <c r="F13" s="992">
        <v>1</v>
      </c>
      <c r="G13" s="992">
        <v>13950</v>
      </c>
      <c r="H13" s="992">
        <f>F13*G13</f>
        <v>13950</v>
      </c>
      <c r="I13" s="992">
        <v>21</v>
      </c>
      <c r="J13" s="992">
        <f>G13*1.21</f>
        <v>16879.5</v>
      </c>
      <c r="K13" s="992">
        <f>F13*J13</f>
        <v>16879.5</v>
      </c>
    </row>
    <row r="14" spans="1:11" ht="12.75" customHeight="1">
      <c r="A14" s="1520"/>
      <c r="B14" s="1520"/>
      <c r="C14" s="1522"/>
      <c r="D14" s="1522"/>
      <c r="E14" s="994" t="s">
        <v>778</v>
      </c>
      <c r="F14" s="992">
        <v>1</v>
      </c>
      <c r="G14" s="992">
        <v>13950</v>
      </c>
      <c r="H14" s="992">
        <f t="shared" ref="H14" si="0">F14*G14</f>
        <v>13950</v>
      </c>
      <c r="I14" s="992">
        <v>21</v>
      </c>
      <c r="J14" s="992">
        <f t="shared" ref="J14" si="1">G14*1.21</f>
        <v>16879.5</v>
      </c>
      <c r="K14" s="992">
        <f t="shared" ref="K14" si="2">F14*J14</f>
        <v>16879.5</v>
      </c>
    </row>
    <row r="15" spans="1:11">
      <c r="A15" s="502"/>
      <c r="B15" s="502"/>
      <c r="C15" s="502"/>
      <c r="D15" s="502"/>
      <c r="E15" s="502"/>
      <c r="F15" s="502"/>
      <c r="G15" s="502"/>
      <c r="H15" s="998">
        <f>SUM(H13:H14)</f>
        <v>27900</v>
      </c>
      <c r="I15" s="502"/>
      <c r="J15" s="998"/>
      <c r="K15" s="992">
        <f>SUM(K13:K14)</f>
        <v>33759</v>
      </c>
    </row>
    <row r="16" spans="1:11">
      <c r="A16" s="999"/>
      <c r="B16" s="999"/>
      <c r="C16" s="999"/>
      <c r="D16" s="999"/>
      <c r="E16" s="999"/>
      <c r="F16" s="999"/>
      <c r="G16" s="999"/>
      <c r="H16" s="999"/>
      <c r="I16" s="999"/>
      <c r="J16" s="999"/>
      <c r="K16" s="999"/>
    </row>
    <row r="17" spans="1:11" ht="36.75" customHeight="1">
      <c r="A17" s="1460" t="s">
        <v>767</v>
      </c>
      <c r="B17" s="1460"/>
      <c r="C17" s="1460"/>
      <c r="D17" s="1460"/>
      <c r="E17" s="1460"/>
      <c r="F17" s="1460"/>
      <c r="G17" s="1460"/>
      <c r="H17" s="1460"/>
      <c r="I17" s="1460"/>
      <c r="J17" s="1460"/>
      <c r="K17" s="1460"/>
    </row>
  </sheetData>
  <mergeCells count="11">
    <mergeCell ref="A17:K17"/>
    <mergeCell ref="A2:C2"/>
    <mergeCell ref="A3:A4"/>
    <mergeCell ref="B3:C3"/>
    <mergeCell ref="A6:C6"/>
    <mergeCell ref="A7:C7"/>
    <mergeCell ref="A11:K11"/>
    <mergeCell ref="A13:A14"/>
    <mergeCell ref="B13:B14"/>
    <mergeCell ref="C13:C14"/>
    <mergeCell ref="D13:D14"/>
  </mergeCells>
  <pageMargins left="0.7" right="0.7" top="0.75" bottom="0.75" header="0.3" footer="0.3"/>
  <pageSetup paperSize="9" scale="46"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B2DA0-CB31-486D-AF98-35788911CE4A}">
  <sheetPr>
    <tabColor theme="7" tint="0.79998168889431442"/>
  </sheetPr>
  <dimension ref="A1:AF69"/>
  <sheetViews>
    <sheetView view="pageBreakPreview" topLeftCell="A44" zoomScale="60" zoomScaleNormal="70" workbookViewId="0">
      <selection activeCell="O25" sqref="O25"/>
    </sheetView>
  </sheetViews>
  <sheetFormatPr defaultRowHeight="15"/>
  <cols>
    <col min="1" max="1" width="19.5703125" customWidth="1"/>
    <col min="2" max="2" width="19.7109375" customWidth="1"/>
    <col min="3" max="3" width="38.42578125" customWidth="1"/>
    <col min="4" max="4" width="22" customWidth="1"/>
    <col min="5" max="5" width="14.5703125" customWidth="1"/>
    <col min="6" max="7" width="12.7109375" customWidth="1"/>
    <col min="8" max="9" width="15.85546875" customWidth="1"/>
    <col min="10" max="10" width="16" customWidth="1"/>
    <col min="11" max="12" width="12.7109375" customWidth="1"/>
    <col min="13" max="13" width="15.5703125" customWidth="1"/>
    <col min="14" max="14" width="16.140625" customWidth="1"/>
    <col min="15" max="15" width="12.7109375" customWidth="1"/>
    <col min="16" max="16" width="16" customWidth="1"/>
    <col min="17" max="17" width="9.140625" customWidth="1"/>
    <col min="18" max="20" width="12.7109375" customWidth="1"/>
    <col min="21" max="22" width="9.140625" bestFit="1" customWidth="1"/>
    <col min="23" max="23" width="9.140625" customWidth="1"/>
    <col min="24" max="24" width="9.140625" bestFit="1" customWidth="1"/>
    <col min="25" max="25" width="18.42578125" customWidth="1"/>
    <col min="26" max="26" width="15" customWidth="1"/>
    <col min="27" max="27" width="13.7109375" customWidth="1"/>
    <col min="28" max="28" width="14.5703125" customWidth="1"/>
    <col min="29" max="29" width="14.7109375" customWidth="1"/>
    <col min="30" max="32" width="9.140625" bestFit="1" customWidth="1"/>
  </cols>
  <sheetData>
    <row r="1" spans="1:32" ht="15.75">
      <c r="X1" s="460" t="s">
        <v>820</v>
      </c>
    </row>
    <row r="2" spans="1:32" ht="15.75">
      <c r="B2" s="51"/>
      <c r="C2" s="51"/>
      <c r="D2" s="1067" t="s">
        <v>823</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row>
    <row r="3" spans="1:32">
      <c r="A3" s="52"/>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row>
    <row r="4" spans="1:32" ht="75" customHeight="1">
      <c r="A4" s="18" t="s">
        <v>200</v>
      </c>
      <c r="B4" s="4" t="s">
        <v>227</v>
      </c>
      <c r="C4" s="4" t="s">
        <v>201</v>
      </c>
      <c r="D4" s="4" t="s">
        <v>423</v>
      </c>
      <c r="E4" s="51"/>
      <c r="F4" s="51"/>
      <c r="G4" s="51"/>
      <c r="H4" s="51"/>
      <c r="I4" s="51"/>
      <c r="J4" s="51"/>
      <c r="K4" s="51"/>
      <c r="L4" s="51"/>
      <c r="M4" s="51"/>
      <c r="N4" s="51"/>
      <c r="O4" s="51"/>
      <c r="P4" s="51"/>
      <c r="Q4" s="51"/>
      <c r="R4" s="51"/>
      <c r="S4" s="480"/>
      <c r="T4" s="480"/>
      <c r="U4" s="480"/>
      <c r="V4" s="480"/>
      <c r="W4" s="480"/>
      <c r="X4" s="480"/>
      <c r="Y4" s="480"/>
      <c r="Z4" s="480"/>
      <c r="AA4" s="480"/>
      <c r="AB4" s="51"/>
      <c r="AC4" s="51"/>
      <c r="AD4" s="51"/>
      <c r="AE4" s="51"/>
      <c r="AF4" s="51"/>
    </row>
    <row r="5" spans="1:32" ht="60">
      <c r="A5" s="114" t="s">
        <v>82</v>
      </c>
      <c r="B5" s="711">
        <v>21010828</v>
      </c>
      <c r="C5" s="607">
        <f>Y30+Y58+Y68</f>
        <v>2254308.3314999999</v>
      </c>
      <c r="D5" s="528">
        <f>C5</f>
        <v>2254308.3314999999</v>
      </c>
      <c r="E5" s="321"/>
      <c r="F5" s="51"/>
      <c r="G5" s="51"/>
      <c r="H5" s="51"/>
      <c r="I5" s="51"/>
      <c r="J5" s="51"/>
      <c r="K5" s="51"/>
      <c r="L5" s="51"/>
      <c r="M5" s="51"/>
      <c r="N5" s="51"/>
      <c r="O5" s="51"/>
      <c r="P5" s="51"/>
      <c r="Q5" s="51"/>
      <c r="R5" s="51"/>
      <c r="S5" s="51"/>
      <c r="T5" s="51"/>
      <c r="U5" s="51"/>
      <c r="V5" s="51"/>
      <c r="W5" s="51"/>
      <c r="X5" s="51"/>
      <c r="Y5" s="51"/>
      <c r="Z5" s="51"/>
      <c r="AA5" s="51"/>
      <c r="AB5" s="51"/>
      <c r="AC5" s="51"/>
      <c r="AD5" s="51"/>
      <c r="AE5" s="51"/>
      <c r="AF5" s="51"/>
    </row>
    <row r="6" spans="1:32">
      <c r="A6" s="51"/>
      <c r="B6" s="51"/>
      <c r="C6" s="51"/>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row>
    <row r="7" spans="1:32" ht="53.25" customHeight="1">
      <c r="A7" s="258" t="s">
        <v>32</v>
      </c>
      <c r="B7" s="259" t="s">
        <v>316</v>
      </c>
      <c r="C7" s="260" t="s">
        <v>317</v>
      </c>
      <c r="D7" s="260" t="s">
        <v>318</v>
      </c>
      <c r="E7" s="260" t="s">
        <v>319</v>
      </c>
      <c r="F7" s="257"/>
      <c r="G7" s="258" t="s">
        <v>32</v>
      </c>
      <c r="H7" s="1560" t="s">
        <v>340</v>
      </c>
      <c r="I7" s="1560" t="s">
        <v>341</v>
      </c>
      <c r="J7" s="1560" t="s">
        <v>342</v>
      </c>
      <c r="K7" s="257"/>
      <c r="L7" s="258" t="s">
        <v>32</v>
      </c>
      <c r="M7" s="258" t="s">
        <v>32</v>
      </c>
      <c r="N7" s="257"/>
      <c r="O7" s="257"/>
      <c r="P7" s="257"/>
      <c r="Q7" s="257"/>
      <c r="R7" s="258" t="s">
        <v>32</v>
      </c>
      <c r="S7" s="258" t="s">
        <v>32</v>
      </c>
      <c r="T7" s="258" t="s">
        <v>32</v>
      </c>
      <c r="U7" s="257"/>
      <c r="V7" s="257"/>
      <c r="W7" s="257"/>
      <c r="X7" s="257"/>
      <c r="Y7" s="257"/>
      <c r="Z7" s="257"/>
      <c r="AA7" s="257"/>
      <c r="AB7" s="257"/>
      <c r="AC7" s="257"/>
      <c r="AD7" s="257"/>
      <c r="AE7" s="257"/>
      <c r="AF7" s="257"/>
    </row>
    <row r="8" spans="1:32" ht="15" customHeight="1">
      <c r="A8" s="261" t="s">
        <v>320</v>
      </c>
      <c r="B8" s="262">
        <v>2304</v>
      </c>
      <c r="C8" s="263">
        <v>1388</v>
      </c>
      <c r="D8" s="263">
        <v>925</v>
      </c>
      <c r="E8" s="264" t="s">
        <v>32</v>
      </c>
      <c r="F8" s="257"/>
      <c r="G8" s="258" t="s">
        <v>32</v>
      </c>
      <c r="H8" s="1560"/>
      <c r="I8" s="1560"/>
      <c r="J8" s="1560"/>
      <c r="K8" s="257"/>
      <c r="L8" s="258" t="s">
        <v>32</v>
      </c>
      <c r="M8" s="258" t="s">
        <v>32</v>
      </c>
      <c r="N8" s="257"/>
      <c r="O8" s="257"/>
      <c r="P8" s="257"/>
      <c r="Q8" s="257"/>
      <c r="R8" s="258" t="s">
        <v>32</v>
      </c>
      <c r="S8" s="258" t="s">
        <v>32</v>
      </c>
      <c r="T8" s="258" t="s">
        <v>32</v>
      </c>
      <c r="U8" s="257"/>
      <c r="V8" s="257"/>
      <c r="W8" s="257"/>
      <c r="X8" s="257"/>
      <c r="Y8" s="257"/>
      <c r="Z8" s="257"/>
      <c r="AA8" s="257"/>
      <c r="AB8" s="257"/>
      <c r="AC8" s="257"/>
      <c r="AD8" s="257"/>
      <c r="AE8" s="257"/>
      <c r="AF8" s="257"/>
    </row>
    <row r="9" spans="1:32" ht="30">
      <c r="A9" s="330" t="s">
        <v>321</v>
      </c>
      <c r="B9" s="265">
        <f>ROUND(B8/9600,4)</f>
        <v>0.24</v>
      </c>
      <c r="C9" s="265">
        <f>ROUND(C8/9600,4)</f>
        <v>0.14460000000000001</v>
      </c>
      <c r="D9" s="265">
        <f>ROUND(D8/9600,4)</f>
        <v>9.64E-2</v>
      </c>
      <c r="E9" s="435">
        <v>0.2359</v>
      </c>
      <c r="F9" s="257"/>
      <c r="G9" s="258" t="s">
        <v>343</v>
      </c>
      <c r="H9" s="259">
        <v>0.28570000000000001</v>
      </c>
      <c r="I9" s="260">
        <v>2.0199999999999999E-2</v>
      </c>
      <c r="J9" s="260">
        <v>3.2199999999999999E-2</v>
      </c>
      <c r="K9" s="257"/>
      <c r="L9" s="258" t="s">
        <v>32</v>
      </c>
      <c r="M9" s="258" t="s">
        <v>32</v>
      </c>
      <c r="N9" s="257"/>
      <c r="O9" s="257"/>
      <c r="P9" s="257"/>
      <c r="Q9" s="257"/>
      <c r="R9" s="258" t="s">
        <v>32</v>
      </c>
      <c r="S9" s="424"/>
      <c r="T9" s="424"/>
      <c r="U9" s="424"/>
      <c r="V9" s="424"/>
      <c r="W9" s="424"/>
      <c r="X9" s="424"/>
      <c r="Y9" s="424"/>
      <c r="Z9" s="424"/>
      <c r="AA9" s="424"/>
      <c r="AB9" s="257"/>
      <c r="AC9" s="257"/>
      <c r="AD9" s="257"/>
      <c r="AE9" s="257"/>
      <c r="AF9" s="257"/>
    </row>
    <row r="10" spans="1:32">
      <c r="A10" s="258" t="s">
        <v>32</v>
      </c>
      <c r="B10" s="258" t="s">
        <v>32</v>
      </c>
      <c r="C10" s="258" t="s">
        <v>32</v>
      </c>
      <c r="D10" s="258" t="s">
        <v>32</v>
      </c>
      <c r="E10" s="258" t="s">
        <v>32</v>
      </c>
      <c r="F10" s="258" t="s">
        <v>32</v>
      </c>
      <c r="G10" s="258" t="s">
        <v>32</v>
      </c>
      <c r="H10" s="257"/>
      <c r="I10" s="257"/>
      <c r="J10" s="257"/>
      <c r="K10" s="257"/>
      <c r="L10" s="258" t="s">
        <v>32</v>
      </c>
      <c r="M10" s="258" t="s">
        <v>32</v>
      </c>
      <c r="N10" s="258" t="s">
        <v>32</v>
      </c>
      <c r="O10" s="258" t="s">
        <v>32</v>
      </c>
      <c r="P10" s="258" t="s">
        <v>32</v>
      </c>
      <c r="Q10" s="258" t="s">
        <v>32</v>
      </c>
      <c r="R10" s="258" t="s">
        <v>32</v>
      </c>
      <c r="S10" s="258" t="s">
        <v>32</v>
      </c>
      <c r="T10" s="258" t="s">
        <v>32</v>
      </c>
      <c r="U10" s="257"/>
      <c r="V10" s="257"/>
      <c r="W10" s="257"/>
      <c r="X10" s="257"/>
      <c r="Y10" s="257"/>
      <c r="Z10" s="257"/>
      <c r="AA10" s="257"/>
      <c r="AB10" s="257"/>
      <c r="AC10" s="257"/>
      <c r="AD10" s="257"/>
      <c r="AE10" s="257"/>
      <c r="AF10" s="257"/>
    </row>
    <row r="11" spans="1:32">
      <c r="A11" s="257"/>
      <c r="B11" s="257"/>
      <c r="C11" s="257"/>
      <c r="D11" s="257"/>
      <c r="E11" s="257"/>
      <c r="F11" s="257"/>
      <c r="G11" s="257"/>
      <c r="H11" s="257"/>
      <c r="I11" s="257"/>
      <c r="J11" s="257"/>
      <c r="K11" s="257"/>
      <c r="L11" s="257"/>
      <c r="M11" s="257"/>
      <c r="N11" s="257"/>
      <c r="O11" s="257"/>
      <c r="P11" s="257"/>
      <c r="Q11" s="257"/>
      <c r="R11" s="257"/>
      <c r="S11" s="257"/>
      <c r="T11" s="257"/>
      <c r="U11" s="257"/>
      <c r="V11" s="257"/>
      <c r="W11" s="257"/>
      <c r="X11" s="257"/>
      <c r="Y11" s="257"/>
      <c r="Z11" s="257"/>
      <c r="AA11" s="257"/>
      <c r="AB11" s="257"/>
      <c r="AC11" s="257"/>
      <c r="AD11" s="257"/>
      <c r="AE11" s="257"/>
      <c r="AF11" s="257"/>
    </row>
    <row r="12" spans="1:32" ht="15.75">
      <c r="A12" s="1085" t="s">
        <v>819</v>
      </c>
      <c r="B12" s="257"/>
      <c r="C12" s="257"/>
      <c r="D12" s="257"/>
      <c r="E12" s="257"/>
      <c r="F12" s="257"/>
      <c r="G12" s="257"/>
      <c r="H12" s="257"/>
      <c r="I12" s="257"/>
      <c r="J12" s="257"/>
      <c r="K12" s="257"/>
      <c r="L12" s="257"/>
      <c r="M12" s="257"/>
      <c r="N12" s="257"/>
      <c r="O12" s="257"/>
      <c r="P12" s="257"/>
      <c r="Q12" s="257"/>
      <c r="R12" s="257"/>
      <c r="S12" s="257"/>
      <c r="T12" s="257"/>
      <c r="U12" s="257"/>
      <c r="V12" s="257"/>
      <c r="W12" s="257"/>
      <c r="X12" s="257"/>
      <c r="Y12" s="257"/>
      <c r="Z12" s="257"/>
      <c r="AA12" s="257"/>
      <c r="AB12" s="257"/>
      <c r="AC12" s="257"/>
      <c r="AD12" s="257"/>
      <c r="AE12" s="257"/>
      <c r="AF12" s="257"/>
    </row>
    <row r="13" spans="1:32" ht="15" customHeight="1">
      <c r="A13" s="1087"/>
      <c r="B13" s="1561" t="s">
        <v>232</v>
      </c>
      <c r="C13" s="1564" t="s">
        <v>231</v>
      </c>
      <c r="D13" s="1552" t="s">
        <v>344</v>
      </c>
      <c r="E13" s="1552"/>
      <c r="F13" s="1552"/>
      <c r="G13" s="1552"/>
      <c r="H13" s="1552"/>
      <c r="I13" s="1552"/>
      <c r="J13" s="1552"/>
      <c r="K13" s="1552"/>
      <c r="L13" s="1552"/>
      <c r="M13" s="1553"/>
      <c r="N13" s="1552" t="s">
        <v>32</v>
      </c>
      <c r="O13" s="1552"/>
      <c r="P13" s="1552"/>
      <c r="Q13" s="1553"/>
      <c r="R13" s="1566" t="s">
        <v>345</v>
      </c>
      <c r="S13" s="1566" t="s">
        <v>414</v>
      </c>
      <c r="T13" s="1568" t="s">
        <v>233</v>
      </c>
      <c r="U13" s="1555" t="s">
        <v>424</v>
      </c>
      <c r="V13" s="1554" t="s">
        <v>425</v>
      </c>
      <c r="W13" s="1554" t="s">
        <v>426</v>
      </c>
      <c r="X13" s="1554" t="s">
        <v>427</v>
      </c>
      <c r="Y13" s="1555" t="s">
        <v>428</v>
      </c>
      <c r="Z13" s="257"/>
      <c r="AA13" s="257"/>
      <c r="AB13" s="257"/>
      <c r="AC13" s="257"/>
      <c r="AD13" s="257"/>
      <c r="AE13" s="257"/>
    </row>
    <row r="14" spans="1:32" ht="30.75" customHeight="1">
      <c r="A14" s="1087"/>
      <c r="B14" s="1562"/>
      <c r="C14" s="1565"/>
      <c r="D14" s="1552" t="s">
        <v>347</v>
      </c>
      <c r="E14" s="1552"/>
      <c r="F14" s="1553"/>
      <c r="G14" s="1552" t="s">
        <v>348</v>
      </c>
      <c r="H14" s="1552"/>
      <c r="I14" s="1553"/>
      <c r="J14" s="328" t="s">
        <v>349</v>
      </c>
      <c r="K14" s="1552" t="s">
        <v>350</v>
      </c>
      <c r="L14" s="1552"/>
      <c r="M14" s="1553"/>
      <c r="N14" s="1550" t="s">
        <v>351</v>
      </c>
      <c r="O14" s="1550" t="s">
        <v>352</v>
      </c>
      <c r="P14" s="1550" t="s">
        <v>353</v>
      </c>
      <c r="Q14" s="1550" t="s">
        <v>354</v>
      </c>
      <c r="R14" s="1550"/>
      <c r="S14" s="1550"/>
      <c r="T14" s="1569"/>
      <c r="U14" s="1555"/>
      <c r="V14" s="1554"/>
      <c r="W14" s="1554"/>
      <c r="X14" s="1554"/>
      <c r="Y14" s="1555"/>
      <c r="Z14" s="257"/>
      <c r="AA14" s="257"/>
      <c r="AB14" s="257"/>
      <c r="AC14" s="257"/>
      <c r="AD14" s="257"/>
      <c r="AE14" s="257"/>
    </row>
    <row r="15" spans="1:32" ht="47.25" customHeight="1">
      <c r="A15" s="1087"/>
      <c r="B15" s="1563"/>
      <c r="C15" s="1565"/>
      <c r="D15" s="328" t="s">
        <v>355</v>
      </c>
      <c r="E15" s="328" t="s">
        <v>356</v>
      </c>
      <c r="F15" s="328" t="s">
        <v>357</v>
      </c>
      <c r="G15" s="467" t="s">
        <v>355</v>
      </c>
      <c r="H15" s="467" t="s">
        <v>356</v>
      </c>
      <c r="I15" s="328" t="s">
        <v>358</v>
      </c>
      <c r="J15" s="467" t="s">
        <v>359</v>
      </c>
      <c r="K15" s="328" t="s">
        <v>360</v>
      </c>
      <c r="L15" s="328" t="s">
        <v>361</v>
      </c>
      <c r="M15" s="328" t="s">
        <v>362</v>
      </c>
      <c r="N15" s="1567"/>
      <c r="O15" s="1550"/>
      <c r="P15" s="1550"/>
      <c r="Q15" s="1567"/>
      <c r="R15" s="1567"/>
      <c r="S15" s="1567"/>
      <c r="T15" s="1570"/>
      <c r="U15" s="1555"/>
      <c r="V15" s="1554"/>
      <c r="W15" s="1554"/>
      <c r="X15" s="1554"/>
      <c r="Y15" s="1555"/>
      <c r="Z15" s="257"/>
      <c r="AA15" s="434"/>
      <c r="AB15" s="257"/>
      <c r="AC15" s="257"/>
      <c r="AD15" s="257"/>
      <c r="AE15" s="257"/>
    </row>
    <row r="16" spans="1:32">
      <c r="A16" s="1086" t="s">
        <v>429</v>
      </c>
      <c r="B16" s="330" t="str">
        <f>0&amp;6033</f>
        <v>06033</v>
      </c>
      <c r="C16" s="879" t="s">
        <v>364</v>
      </c>
      <c r="D16" s="331">
        <v>81</v>
      </c>
      <c r="E16" s="331">
        <v>50</v>
      </c>
      <c r="F16" s="463">
        <v>0</v>
      </c>
      <c r="G16" s="468">
        <f>D16*$B$9</f>
        <v>19.439999999999998</v>
      </c>
      <c r="H16" s="468">
        <f>E16*$C$9</f>
        <v>7.23</v>
      </c>
      <c r="I16" s="463">
        <v>0</v>
      </c>
      <c r="J16" s="468">
        <f>(G16+H16)*$E$9</f>
        <v>6.2914529999999997</v>
      </c>
      <c r="K16" s="332">
        <f>L16+M16</f>
        <v>7.87</v>
      </c>
      <c r="L16" s="332">
        <v>1.83</v>
      </c>
      <c r="M16" s="332">
        <v>6.04</v>
      </c>
      <c r="N16" s="463">
        <v>12.94</v>
      </c>
      <c r="O16" s="468">
        <f>(G16+H16+I16)*$H$9</f>
        <v>7.6196190000000001</v>
      </c>
      <c r="P16" s="468">
        <f>(G16+H16+I16)*$I$9</f>
        <v>0.53873399999999994</v>
      </c>
      <c r="Q16" s="468">
        <f>(G16+H16+I16)*$J$9</f>
        <v>0.85877399999999993</v>
      </c>
      <c r="R16" s="333">
        <f>G16+H16+I16+J16+K16+N16+O16+P16+Q16</f>
        <v>62.788579999999989</v>
      </c>
      <c r="S16" s="333">
        <v>4</v>
      </c>
      <c r="T16" s="334">
        <f t="shared" ref="T16" si="0">R16-S16</f>
        <v>58.788579999999989</v>
      </c>
      <c r="U16" s="1557">
        <f>T16-T17</f>
        <v>7.4585799999999907</v>
      </c>
      <c r="V16" s="1558">
        <v>5000</v>
      </c>
      <c r="W16" s="1558">
        <v>1.3</v>
      </c>
      <c r="X16" s="1558">
        <f>V16*W16</f>
        <v>6500</v>
      </c>
      <c r="Y16" s="1559">
        <f>X16*T16</f>
        <v>382125.7699999999</v>
      </c>
      <c r="Z16" s="1551"/>
      <c r="AA16" s="1551"/>
      <c r="AB16" s="257"/>
      <c r="AC16" s="257"/>
      <c r="AD16" s="257"/>
      <c r="AE16" s="257"/>
    </row>
    <row r="17" spans="1:32">
      <c r="A17" s="329" t="s">
        <v>430</v>
      </c>
      <c r="B17" s="338" t="str">
        <f>0&amp;6033</f>
        <v>06033</v>
      </c>
      <c r="C17" s="880" t="s">
        <v>364</v>
      </c>
      <c r="D17" s="339">
        <v>81</v>
      </c>
      <c r="E17" s="340">
        <v>50</v>
      </c>
      <c r="F17" s="341">
        <v>0</v>
      </c>
      <c r="G17" s="529">
        <f t="shared" ref="G17:G27" si="1">D17*$B$9</f>
        <v>19.439999999999998</v>
      </c>
      <c r="H17" s="529">
        <f t="shared" ref="H17:H21" si="2">E17*$C$9</f>
        <v>7.23</v>
      </c>
      <c r="I17" s="343">
        <v>0</v>
      </c>
      <c r="J17" s="529">
        <f t="shared" ref="J17:J27" si="3">(G17+H17)*$E$9</f>
        <v>6.2914529999999997</v>
      </c>
      <c r="K17" s="339">
        <v>0.86</v>
      </c>
      <c r="L17" s="340">
        <v>0</v>
      </c>
      <c r="M17" s="340">
        <v>0.86</v>
      </c>
      <c r="N17" s="341">
        <v>8.49</v>
      </c>
      <c r="O17" s="529">
        <f>(G17+H17+I17)*$H$9+4</f>
        <v>11.619619</v>
      </c>
      <c r="P17" s="529">
        <f t="shared" ref="P17:P27" si="4">(G17+H17+I17)*$I$9</f>
        <v>0.53873399999999994</v>
      </c>
      <c r="Q17" s="529">
        <f t="shared" ref="Q17:Q27" si="5">(G17+H17+I17)*$J$9</f>
        <v>0.85877399999999993</v>
      </c>
      <c r="R17" s="343">
        <f>G17+H17+I17+J17+K17+N17+O17+P17+Q17</f>
        <v>55.328579999999995</v>
      </c>
      <c r="S17" s="342">
        <v>4</v>
      </c>
      <c r="T17" s="351">
        <f>ROUND(R17-S17,2)</f>
        <v>51.33</v>
      </c>
      <c r="U17" s="1557"/>
      <c r="V17" s="1558"/>
      <c r="W17" s="1558"/>
      <c r="X17" s="1558"/>
      <c r="Y17" s="1559"/>
      <c r="Z17" s="1551"/>
      <c r="AA17" s="1551"/>
      <c r="AB17" s="257"/>
      <c r="AC17" s="257"/>
      <c r="AD17" s="257"/>
      <c r="AE17" s="257"/>
    </row>
    <row r="18" spans="1:32">
      <c r="A18" s="329" t="s">
        <v>429</v>
      </c>
      <c r="B18" s="344" t="str">
        <f>0&amp;6015</f>
        <v>06015</v>
      </c>
      <c r="C18" s="329" t="s">
        <v>431</v>
      </c>
      <c r="D18" s="345">
        <v>75</v>
      </c>
      <c r="E18" s="345">
        <v>45</v>
      </c>
      <c r="F18" s="464">
        <v>0</v>
      </c>
      <c r="G18" s="468">
        <f t="shared" si="1"/>
        <v>18</v>
      </c>
      <c r="H18" s="468">
        <f t="shared" si="2"/>
        <v>6.5070000000000006</v>
      </c>
      <c r="I18" s="472">
        <v>0</v>
      </c>
      <c r="J18" s="468">
        <f t="shared" si="3"/>
        <v>5.7812013000000002</v>
      </c>
      <c r="K18" s="469">
        <f t="shared" ref="K18:K27" si="6">L18+M18</f>
        <v>6.38</v>
      </c>
      <c r="L18" s="345">
        <v>0.05</v>
      </c>
      <c r="M18" s="345">
        <v>6.33</v>
      </c>
      <c r="N18" s="464">
        <v>4.1399999999999997</v>
      </c>
      <c r="O18" s="468">
        <f t="shared" ref="O18" si="7">(G18+H18+I18)*$H$9</f>
        <v>7.0016499000000003</v>
      </c>
      <c r="P18" s="468">
        <f t="shared" si="4"/>
        <v>0.49504140000000002</v>
      </c>
      <c r="Q18" s="468">
        <f t="shared" si="5"/>
        <v>0.78912540000000009</v>
      </c>
      <c r="R18" s="476">
        <f>G18+H18+I18+J18+K18+N18+O18+P18+Q18</f>
        <v>49.094017999999998</v>
      </c>
      <c r="S18" s="346">
        <v>4</v>
      </c>
      <c r="T18" s="347">
        <f t="shared" ref="T18:T27" si="8">R18-S18</f>
        <v>45.094017999999998</v>
      </c>
      <c r="U18" s="1557">
        <f>T18-T19</f>
        <v>8.1650459999999967</v>
      </c>
      <c r="V18" s="1558">
        <v>1000</v>
      </c>
      <c r="W18" s="1558">
        <v>1</v>
      </c>
      <c r="X18" s="1558">
        <f>V18*W18</f>
        <v>1000</v>
      </c>
      <c r="Y18" s="1559">
        <f>X18*T18</f>
        <v>45094.017999999996</v>
      </c>
      <c r="Z18" s="1551"/>
      <c r="AA18" s="1556"/>
      <c r="AB18" s="257"/>
      <c r="AC18" s="257"/>
      <c r="AD18" s="257"/>
      <c r="AE18" s="257"/>
    </row>
    <row r="19" spans="1:32">
      <c r="A19" s="329" t="s">
        <v>430</v>
      </c>
      <c r="B19" s="348" t="str">
        <f>0&amp;6015</f>
        <v>06015</v>
      </c>
      <c r="C19" s="349" t="s">
        <v>431</v>
      </c>
      <c r="D19" s="340">
        <v>71</v>
      </c>
      <c r="E19" s="340">
        <v>30</v>
      </c>
      <c r="F19" s="341">
        <v>0</v>
      </c>
      <c r="G19" s="529">
        <f t="shared" si="1"/>
        <v>17.04</v>
      </c>
      <c r="H19" s="529">
        <f t="shared" si="2"/>
        <v>4.3380000000000001</v>
      </c>
      <c r="I19" s="343">
        <v>0</v>
      </c>
      <c r="J19" s="529">
        <f t="shared" si="3"/>
        <v>5.0430701999999998</v>
      </c>
      <c r="K19" s="339">
        <f t="shared" si="6"/>
        <v>1.1299999999999999</v>
      </c>
      <c r="L19" s="340">
        <v>0</v>
      </c>
      <c r="M19" s="340">
        <v>1.1299999999999999</v>
      </c>
      <c r="N19" s="341">
        <v>2.15</v>
      </c>
      <c r="O19" s="529">
        <f>(G19+H19+I19)*$H$9+4</f>
        <v>10.1076946</v>
      </c>
      <c r="P19" s="529">
        <f t="shared" si="4"/>
        <v>0.43183559999999999</v>
      </c>
      <c r="Q19" s="529">
        <f t="shared" si="5"/>
        <v>0.68837159999999997</v>
      </c>
      <c r="R19" s="343">
        <f>G19+H19+J19+K19+N19+O19+P19+Q19</f>
        <v>40.928972000000002</v>
      </c>
      <c r="S19" s="350">
        <v>4</v>
      </c>
      <c r="T19" s="351">
        <f t="shared" si="8"/>
        <v>36.928972000000002</v>
      </c>
      <c r="U19" s="1558"/>
      <c r="V19" s="1558"/>
      <c r="W19" s="1558"/>
      <c r="X19" s="1558"/>
      <c r="Y19" s="1559"/>
      <c r="Z19" s="1551"/>
      <c r="AA19" s="1556"/>
      <c r="AB19" s="257"/>
      <c r="AC19" s="257"/>
      <c r="AD19" s="257"/>
      <c r="AE19" s="257"/>
    </row>
    <row r="20" spans="1:32" ht="30">
      <c r="A20" s="329" t="s">
        <v>432</v>
      </c>
      <c r="B20" s="344" t="s">
        <v>433</v>
      </c>
      <c r="C20" s="881" t="s">
        <v>434</v>
      </c>
      <c r="D20" s="352">
        <v>70</v>
      </c>
      <c r="E20" s="352">
        <v>0</v>
      </c>
      <c r="F20" s="336">
        <v>0</v>
      </c>
      <c r="G20" s="468">
        <f t="shared" si="1"/>
        <v>16.8</v>
      </c>
      <c r="H20" s="468">
        <f t="shared" si="2"/>
        <v>0</v>
      </c>
      <c r="I20" s="473">
        <v>0</v>
      </c>
      <c r="J20" s="468">
        <f t="shared" si="3"/>
        <v>3.96312</v>
      </c>
      <c r="K20" s="465">
        <f t="shared" si="6"/>
        <v>3.07</v>
      </c>
      <c r="L20" s="352">
        <v>0.05</v>
      </c>
      <c r="M20" s="352">
        <v>3.02</v>
      </c>
      <c r="N20" s="336">
        <v>4.1399999999999997</v>
      </c>
      <c r="O20" s="468">
        <f t="shared" ref="O20:O21" si="9">(G20+H20+I20)*$H$9</f>
        <v>4.79976</v>
      </c>
      <c r="P20" s="468">
        <f t="shared" si="4"/>
        <v>0.33935999999999999</v>
      </c>
      <c r="Q20" s="468">
        <f t="shared" si="5"/>
        <v>0.54096</v>
      </c>
      <c r="R20" s="477">
        <f>G20+J20+K20+N20+O20+P20+Q20</f>
        <v>33.653199999999998</v>
      </c>
      <c r="S20" s="354">
        <v>4</v>
      </c>
      <c r="T20" s="355">
        <f t="shared" si="8"/>
        <v>29.653199999999998</v>
      </c>
      <c r="U20" s="443" t="s">
        <v>435</v>
      </c>
      <c r="V20" s="443">
        <v>500</v>
      </c>
      <c r="W20" s="443">
        <v>1</v>
      </c>
      <c r="X20" s="443">
        <f>V20*W20</f>
        <v>500</v>
      </c>
      <c r="Y20" s="534">
        <f>T20*X20</f>
        <v>14826.599999999999</v>
      </c>
      <c r="Z20" s="257"/>
      <c r="AA20" s="257"/>
      <c r="AB20" s="257"/>
      <c r="AC20" s="257"/>
      <c r="AD20" s="257"/>
      <c r="AE20" s="257"/>
    </row>
    <row r="21" spans="1:32" ht="30">
      <c r="A21" s="329" t="s">
        <v>429</v>
      </c>
      <c r="B21" s="356" t="str">
        <f>0&amp;6003</f>
        <v>06003</v>
      </c>
      <c r="C21" s="882" t="s">
        <v>436</v>
      </c>
      <c r="D21" s="324">
        <v>0</v>
      </c>
      <c r="E21" s="324">
        <v>15</v>
      </c>
      <c r="F21" s="375">
        <v>0</v>
      </c>
      <c r="G21" s="468">
        <f t="shared" si="1"/>
        <v>0</v>
      </c>
      <c r="H21" s="468">
        <f t="shared" si="2"/>
        <v>2.169</v>
      </c>
      <c r="I21" s="474">
        <v>0</v>
      </c>
      <c r="J21" s="468">
        <f t="shared" si="3"/>
        <v>0.51166710000000004</v>
      </c>
      <c r="K21" s="470">
        <f t="shared" si="6"/>
        <v>0.61</v>
      </c>
      <c r="L21" s="324">
        <v>0</v>
      </c>
      <c r="M21" s="324">
        <v>0.61</v>
      </c>
      <c r="N21" s="375">
        <v>0.48</v>
      </c>
      <c r="O21" s="468">
        <f t="shared" si="9"/>
        <v>0.61968330000000005</v>
      </c>
      <c r="P21" s="468">
        <f t="shared" si="4"/>
        <v>4.38138E-2</v>
      </c>
      <c r="Q21" s="468">
        <f t="shared" si="5"/>
        <v>6.9841799999999996E-2</v>
      </c>
      <c r="R21" s="478">
        <f>H21+J21+K21+N21+O21+P21+Q21</f>
        <v>4.5040059999999995</v>
      </c>
      <c r="S21" s="353">
        <v>2</v>
      </c>
      <c r="T21" s="358">
        <f t="shared" si="8"/>
        <v>2.5040059999999995</v>
      </c>
      <c r="U21" s="1557">
        <f>T21-T22</f>
        <v>0.67400599999999988</v>
      </c>
      <c r="V21" s="1558">
        <v>5000</v>
      </c>
      <c r="W21" s="1558">
        <v>2</v>
      </c>
      <c r="X21" s="1558">
        <f>V21*W21</f>
        <v>10000</v>
      </c>
      <c r="Y21" s="1559">
        <f>X21*T21</f>
        <v>25040.059999999994</v>
      </c>
      <c r="Z21" s="1551"/>
      <c r="AA21" s="1551"/>
      <c r="AB21" s="257"/>
      <c r="AC21" s="257"/>
      <c r="AD21" s="257"/>
      <c r="AE21" s="257"/>
    </row>
    <row r="22" spans="1:32" ht="30">
      <c r="A22" s="329" t="s">
        <v>430</v>
      </c>
      <c r="B22" s="344" t="str">
        <f>0&amp;6003</f>
        <v>06003</v>
      </c>
      <c r="C22" s="883" t="s">
        <v>436</v>
      </c>
      <c r="D22" s="325">
        <v>0</v>
      </c>
      <c r="E22" s="325">
        <v>6</v>
      </c>
      <c r="F22" s="359">
        <v>0</v>
      </c>
      <c r="G22" s="529">
        <f t="shared" si="1"/>
        <v>0</v>
      </c>
      <c r="H22" s="529">
        <f>ROUNDUP(E22*$C$9,2)</f>
        <v>0.87</v>
      </c>
      <c r="I22" s="471">
        <v>0</v>
      </c>
      <c r="J22" s="529">
        <f t="shared" si="3"/>
        <v>0.205233</v>
      </c>
      <c r="K22" s="367">
        <f t="shared" si="6"/>
        <v>0.09</v>
      </c>
      <c r="L22" s="325">
        <v>0</v>
      </c>
      <c r="M22" s="325">
        <v>0.09</v>
      </c>
      <c r="N22" s="359">
        <v>0.36</v>
      </c>
      <c r="O22" s="529">
        <f>ROUND((G22+H22+I22)*$H$9+2,2)</f>
        <v>2.25</v>
      </c>
      <c r="P22" s="529">
        <f t="shared" si="4"/>
        <v>1.7573999999999999E-2</v>
      </c>
      <c r="Q22" s="529">
        <f t="shared" si="5"/>
        <v>2.8014000000000001E-2</v>
      </c>
      <c r="R22" s="466">
        <f>ROUNDUP(H22+J22+K22+N22+O22+P22+Q22,2)</f>
        <v>3.8299999999999996</v>
      </c>
      <c r="S22" s="323">
        <v>2</v>
      </c>
      <c r="T22" s="359">
        <f t="shared" si="8"/>
        <v>1.8299999999999996</v>
      </c>
      <c r="U22" s="1558"/>
      <c r="V22" s="1558"/>
      <c r="W22" s="1558"/>
      <c r="X22" s="1558"/>
      <c r="Y22" s="1559"/>
      <c r="Z22" s="1551"/>
      <c r="AA22" s="1551"/>
      <c r="AB22" s="257"/>
      <c r="AC22" s="257"/>
      <c r="AD22" s="257"/>
      <c r="AE22" s="257"/>
    </row>
    <row r="23" spans="1:32" ht="30">
      <c r="A23" s="329" t="s">
        <v>430</v>
      </c>
      <c r="B23" s="360" t="str">
        <f>0&amp;6004</f>
        <v>06004</v>
      </c>
      <c r="C23" s="884" t="s">
        <v>437</v>
      </c>
      <c r="D23" s="325">
        <v>15</v>
      </c>
      <c r="E23" s="325">
        <v>0</v>
      </c>
      <c r="F23" s="359">
        <v>0</v>
      </c>
      <c r="G23" s="529">
        <f t="shared" si="1"/>
        <v>3.5999999999999996</v>
      </c>
      <c r="H23" s="529">
        <f t="shared" ref="H23:H27" si="10">E23*$C$9</f>
        <v>0</v>
      </c>
      <c r="I23" s="471">
        <v>0</v>
      </c>
      <c r="J23" s="529">
        <f t="shared" si="3"/>
        <v>0.84923999999999988</v>
      </c>
      <c r="K23" s="367">
        <f t="shared" si="6"/>
        <v>0.39</v>
      </c>
      <c r="L23" s="325">
        <v>0</v>
      </c>
      <c r="M23" s="325">
        <v>0.39</v>
      </c>
      <c r="N23" s="475">
        <v>0</v>
      </c>
      <c r="O23" s="529">
        <f t="shared" ref="O23" si="11">(G23+H23+I23)*$H$9</f>
        <v>1.0285199999999999</v>
      </c>
      <c r="P23" s="529">
        <f t="shared" si="4"/>
        <v>7.2719999999999993E-2</v>
      </c>
      <c r="Q23" s="529">
        <f t="shared" si="5"/>
        <v>0.11591999999999998</v>
      </c>
      <c r="R23" s="479">
        <f>G23+J23+K23+N23+O23+P23+Q23</f>
        <v>6.0563999999999991</v>
      </c>
      <c r="S23" s="361">
        <v>0</v>
      </c>
      <c r="T23" s="362">
        <f t="shared" si="8"/>
        <v>6.0563999999999991</v>
      </c>
      <c r="U23" s="443" t="s">
        <v>435</v>
      </c>
      <c r="V23" s="443">
        <v>5000</v>
      </c>
      <c r="W23" s="443">
        <v>2</v>
      </c>
      <c r="X23" s="443">
        <f>V23*W23</f>
        <v>10000</v>
      </c>
      <c r="Y23" s="534">
        <f>X23*T23</f>
        <v>60563.999999999993</v>
      </c>
      <c r="Z23" s="257"/>
      <c r="AA23" s="257"/>
      <c r="AB23" s="257"/>
      <c r="AC23" s="257"/>
      <c r="AD23" s="257"/>
      <c r="AE23" s="257"/>
    </row>
    <row r="24" spans="1:32">
      <c r="A24" s="329" t="s">
        <v>430</v>
      </c>
      <c r="B24" s="338" t="str">
        <f>0&amp;6021</f>
        <v>06021</v>
      </c>
      <c r="C24" s="349" t="s">
        <v>363</v>
      </c>
      <c r="D24" s="325">
        <v>36</v>
      </c>
      <c r="E24" s="325">
        <v>35</v>
      </c>
      <c r="F24" s="359">
        <v>0</v>
      </c>
      <c r="G24" s="529">
        <f t="shared" si="1"/>
        <v>8.64</v>
      </c>
      <c r="H24" s="529">
        <f t="shared" si="10"/>
        <v>5.0609999999999999</v>
      </c>
      <c r="I24" s="471">
        <v>0</v>
      </c>
      <c r="J24" s="529">
        <f t="shared" si="3"/>
        <v>3.2320659000000003</v>
      </c>
      <c r="K24" s="367">
        <f t="shared" si="6"/>
        <v>1.67</v>
      </c>
      <c r="L24" s="325">
        <v>0</v>
      </c>
      <c r="M24" s="325">
        <v>1.67</v>
      </c>
      <c r="N24" s="475">
        <v>3</v>
      </c>
      <c r="O24" s="529">
        <f>ROUND((G24+H24+I24)*$H$9+4,2)</f>
        <v>7.91</v>
      </c>
      <c r="P24" s="529">
        <f t="shared" si="4"/>
        <v>0.27676020000000001</v>
      </c>
      <c r="Q24" s="529">
        <f t="shared" si="5"/>
        <v>0.44117220000000001</v>
      </c>
      <c r="R24" s="479">
        <f>H24+J24+G24+K24+N24+O24+P24+Q24</f>
        <v>30.230998300000007</v>
      </c>
      <c r="S24" s="354">
        <v>4</v>
      </c>
      <c r="T24" s="362">
        <f t="shared" si="8"/>
        <v>26.230998300000007</v>
      </c>
      <c r="U24" s="1557">
        <f>T25-T24</f>
        <v>2.4502196999999875</v>
      </c>
      <c r="V24" s="1558">
        <f>5000*0.45</f>
        <v>2250</v>
      </c>
      <c r="W24" s="1558">
        <v>2</v>
      </c>
      <c r="X24" s="1558">
        <f>ROUNDUP(V24*W24,0)</f>
        <v>4500</v>
      </c>
      <c r="Y24" s="1559">
        <f>X24*T25</f>
        <v>129065.48099999997</v>
      </c>
      <c r="Z24" s="1571"/>
      <c r="AA24" s="1571"/>
      <c r="AB24" s="257"/>
      <c r="AC24" s="257"/>
      <c r="AD24" s="257"/>
      <c r="AE24" s="257"/>
    </row>
    <row r="25" spans="1:32">
      <c r="A25" s="329" t="s">
        <v>429</v>
      </c>
      <c r="B25" s="338" t="str">
        <f>0&amp;6021</f>
        <v>06021</v>
      </c>
      <c r="C25" s="349" t="s">
        <v>363</v>
      </c>
      <c r="D25" s="325">
        <v>45</v>
      </c>
      <c r="E25" s="325">
        <v>45</v>
      </c>
      <c r="F25" s="359">
        <v>0</v>
      </c>
      <c r="G25" s="468">
        <f t="shared" si="1"/>
        <v>10.799999999999999</v>
      </c>
      <c r="H25" s="468">
        <f t="shared" si="10"/>
        <v>6.5070000000000006</v>
      </c>
      <c r="I25" s="471">
        <v>0</v>
      </c>
      <c r="J25" s="468">
        <f t="shared" si="3"/>
        <v>4.0827212999999993</v>
      </c>
      <c r="K25" s="367">
        <f t="shared" si="6"/>
        <v>3.2</v>
      </c>
      <c r="L25" s="325">
        <v>0.93</v>
      </c>
      <c r="M25" s="325">
        <v>2.27</v>
      </c>
      <c r="N25" s="475">
        <v>2.2400000000000002</v>
      </c>
      <c r="O25" s="468">
        <f t="shared" ref="O25:O27" si="12">(G25+H25+I25)*$H$9</f>
        <v>4.9446098999999997</v>
      </c>
      <c r="P25" s="468">
        <f t="shared" si="4"/>
        <v>0.34960139999999995</v>
      </c>
      <c r="Q25" s="468">
        <f t="shared" si="5"/>
        <v>0.55728539999999993</v>
      </c>
      <c r="R25" s="479">
        <f>H25+J25+G25+K25+N25+O25+P25+Q25</f>
        <v>32.681217999999994</v>
      </c>
      <c r="S25" s="354">
        <v>4</v>
      </c>
      <c r="T25" s="362">
        <f t="shared" si="8"/>
        <v>28.681217999999994</v>
      </c>
      <c r="U25" s="1558"/>
      <c r="V25" s="1558"/>
      <c r="W25" s="1558"/>
      <c r="X25" s="1558"/>
      <c r="Y25" s="1559"/>
      <c r="Z25" s="1571"/>
      <c r="AA25" s="1571"/>
      <c r="AB25" s="257"/>
      <c r="AC25" s="257"/>
      <c r="AD25" s="257"/>
      <c r="AE25" s="257"/>
    </row>
    <row r="26" spans="1:32" ht="30">
      <c r="A26" s="349" t="s">
        <v>432</v>
      </c>
      <c r="B26" s="366" t="s">
        <v>438</v>
      </c>
      <c r="C26" s="884" t="s">
        <v>416</v>
      </c>
      <c r="D26" s="325">
        <v>20</v>
      </c>
      <c r="E26" s="325">
        <v>40</v>
      </c>
      <c r="F26" s="359">
        <v>0</v>
      </c>
      <c r="G26" s="495">
        <f t="shared" si="1"/>
        <v>4.8</v>
      </c>
      <c r="H26" s="495">
        <f t="shared" si="10"/>
        <v>5.7840000000000007</v>
      </c>
      <c r="I26" s="471">
        <v>0</v>
      </c>
      <c r="J26" s="495">
        <f t="shared" si="3"/>
        <v>2.4967655999999998</v>
      </c>
      <c r="K26" s="367">
        <f t="shared" si="6"/>
        <v>3.7600000000000002</v>
      </c>
      <c r="L26" s="325">
        <v>0.6</v>
      </c>
      <c r="M26" s="325">
        <v>3.16</v>
      </c>
      <c r="N26" s="359">
        <v>8.39</v>
      </c>
      <c r="O26" s="495">
        <f t="shared" si="12"/>
        <v>3.0238488000000001</v>
      </c>
      <c r="P26" s="495">
        <f t="shared" si="4"/>
        <v>0.21379679999999998</v>
      </c>
      <c r="Q26" s="495">
        <f t="shared" si="5"/>
        <v>0.34080479999999996</v>
      </c>
      <c r="R26" s="479">
        <f t="shared" ref="R26:R27" si="13">G26+H26+J26+K26+N26+O26+P26+Q26</f>
        <v>28.809216000000003</v>
      </c>
      <c r="S26" s="354">
        <v>4</v>
      </c>
      <c r="T26" s="362">
        <f t="shared" si="8"/>
        <v>24.809216000000003</v>
      </c>
      <c r="U26" s="443" t="s">
        <v>435</v>
      </c>
      <c r="V26" s="443">
        <v>500</v>
      </c>
      <c r="W26" s="443">
        <v>2</v>
      </c>
      <c r="X26" s="443">
        <f>V26*W26</f>
        <v>1000</v>
      </c>
      <c r="Y26" s="534">
        <f>X26*T26</f>
        <v>24809.216000000004</v>
      </c>
      <c r="Z26" s="372"/>
      <c r="AA26" s="842"/>
      <c r="AB26" s="257"/>
      <c r="AC26" s="257"/>
      <c r="AD26" s="257"/>
      <c r="AE26" s="257"/>
    </row>
    <row r="27" spans="1:32" ht="60">
      <c r="A27" s="532" t="s">
        <v>430</v>
      </c>
      <c r="B27" s="533">
        <v>60037</v>
      </c>
      <c r="C27" s="441" t="s">
        <v>439</v>
      </c>
      <c r="D27" s="443">
        <v>30</v>
      </c>
      <c r="E27" s="443">
        <v>10</v>
      </c>
      <c r="F27" s="443">
        <v>0</v>
      </c>
      <c r="G27" s="529">
        <f t="shared" si="1"/>
        <v>7.1999999999999993</v>
      </c>
      <c r="H27" s="529">
        <f t="shared" si="10"/>
        <v>1.4460000000000002</v>
      </c>
      <c r="I27" s="443">
        <v>0</v>
      </c>
      <c r="J27" s="529">
        <f t="shared" si="3"/>
        <v>2.0395913999999999</v>
      </c>
      <c r="K27" s="443">
        <f t="shared" si="6"/>
        <v>0</v>
      </c>
      <c r="L27" s="443">
        <v>0</v>
      </c>
      <c r="M27" s="443">
        <v>0</v>
      </c>
      <c r="N27" s="443">
        <v>0</v>
      </c>
      <c r="O27" s="529">
        <f t="shared" si="12"/>
        <v>2.4701621999999999</v>
      </c>
      <c r="P27" s="529">
        <f t="shared" si="4"/>
        <v>0.17464919999999998</v>
      </c>
      <c r="Q27" s="529">
        <f t="shared" si="5"/>
        <v>0.27840119999999996</v>
      </c>
      <c r="R27" s="442">
        <f t="shared" si="13"/>
        <v>13.608803999999999</v>
      </c>
      <c r="S27" s="443">
        <v>0</v>
      </c>
      <c r="T27" s="535">
        <f t="shared" si="8"/>
        <v>13.608803999999999</v>
      </c>
      <c r="U27" s="443" t="s">
        <v>435</v>
      </c>
      <c r="V27" s="443">
        <v>1500</v>
      </c>
      <c r="W27" s="443">
        <v>4</v>
      </c>
      <c r="X27" s="443">
        <f>V27*W27</f>
        <v>6000</v>
      </c>
      <c r="Y27" s="534">
        <f>X27*T27</f>
        <v>81652.823999999993</v>
      </c>
      <c r="Z27" s="372"/>
      <c r="AA27" s="372"/>
      <c r="AB27" s="257"/>
      <c r="AC27" s="257"/>
      <c r="AD27" s="257"/>
      <c r="AE27" s="257"/>
    </row>
    <row r="28" spans="1:32">
      <c r="A28" s="532" t="s">
        <v>430</v>
      </c>
      <c r="B28" s="532" t="str">
        <f>0&amp;7024</f>
        <v>07024</v>
      </c>
      <c r="C28" s="440" t="s">
        <v>440</v>
      </c>
      <c r="D28" s="443">
        <v>20</v>
      </c>
      <c r="E28" s="443">
        <v>15</v>
      </c>
      <c r="F28" s="443">
        <v>0</v>
      </c>
      <c r="G28" s="468">
        <f>ROUND(D28*$B$9,2)</f>
        <v>4.8</v>
      </c>
      <c r="H28" s="468">
        <f>ROUND(E28*$C$9,2)</f>
        <v>2.17</v>
      </c>
      <c r="I28" s="443">
        <v>0</v>
      </c>
      <c r="J28" s="468">
        <f>ROUND((G28+H28)*$E$9,2)</f>
        <v>1.64</v>
      </c>
      <c r="K28" s="443">
        <f t="shared" ref="K28" si="14">L28+M28</f>
        <v>0.03</v>
      </c>
      <c r="L28" s="443">
        <v>0</v>
      </c>
      <c r="M28" s="443">
        <v>0.03</v>
      </c>
      <c r="N28" s="443">
        <v>0</v>
      </c>
      <c r="O28" s="468">
        <f>ROUND((G28+H28+I28)*$H$9,2)</f>
        <v>1.99</v>
      </c>
      <c r="P28" s="468">
        <f>ROUND((G28+H28+I28)*$I$9,2)</f>
        <v>0.14000000000000001</v>
      </c>
      <c r="Q28" s="468">
        <f>ROUND((G28+H28+I28)*$J$9,2)</f>
        <v>0.22</v>
      </c>
      <c r="R28" s="442">
        <f>ROUND(G28+H28+J28+K28+N28+O28+P28+Q28,2)</f>
        <v>10.99</v>
      </c>
      <c r="S28" s="443">
        <v>0</v>
      </c>
      <c r="T28" s="535">
        <f t="shared" ref="T28" si="15">R28-S28</f>
        <v>10.99</v>
      </c>
      <c r="U28" s="443" t="s">
        <v>435</v>
      </c>
      <c r="V28" s="443">
        <v>750</v>
      </c>
      <c r="W28" s="443">
        <v>2</v>
      </c>
      <c r="X28" s="443">
        <f t="shared" ref="X28:X29" si="16">V28*W28</f>
        <v>1500</v>
      </c>
      <c r="Y28" s="534">
        <f>X28*T28</f>
        <v>16485</v>
      </c>
      <c r="Z28" s="257"/>
      <c r="AA28" s="257"/>
      <c r="AB28" s="257"/>
      <c r="AC28" s="257"/>
      <c r="AD28" s="257"/>
      <c r="AE28" s="257"/>
    </row>
    <row r="29" spans="1:32">
      <c r="A29" s="75"/>
      <c r="B29" s="440"/>
      <c r="C29" s="440" t="s">
        <v>441</v>
      </c>
      <c r="D29" s="443"/>
      <c r="E29" s="443"/>
      <c r="F29" s="443"/>
      <c r="G29" s="443"/>
      <c r="H29" s="443"/>
      <c r="I29" s="443"/>
      <c r="J29" s="443"/>
      <c r="K29" s="443"/>
      <c r="L29" s="443"/>
      <c r="M29" s="443"/>
      <c r="N29" s="443"/>
      <c r="O29" s="443"/>
      <c r="P29" s="443"/>
      <c r="Q29" s="443"/>
      <c r="R29" s="443"/>
      <c r="S29" s="443"/>
      <c r="T29" s="443">
        <v>26.68</v>
      </c>
      <c r="U29" s="443"/>
      <c r="V29" s="443">
        <v>5000</v>
      </c>
      <c r="W29" s="443">
        <v>2</v>
      </c>
      <c r="X29" s="443">
        <f t="shared" si="16"/>
        <v>10000</v>
      </c>
      <c r="Y29" s="1720">
        <f>X29*T29</f>
        <v>266800</v>
      </c>
      <c r="Z29" s="257"/>
      <c r="AA29" s="257"/>
      <c r="AB29" s="257"/>
      <c r="AC29" s="257"/>
      <c r="AD29" s="257"/>
      <c r="AE29" s="257"/>
    </row>
    <row r="30" spans="1:32">
      <c r="A30" s="257" t="s">
        <v>442</v>
      </c>
      <c r="B30" s="257"/>
      <c r="C30" s="257"/>
      <c r="D30" s="257"/>
      <c r="E30" s="257"/>
      <c r="F30" s="257"/>
      <c r="G30" s="257"/>
      <c r="H30" s="257"/>
      <c r="I30" s="257"/>
      <c r="J30" s="257"/>
      <c r="K30" s="257"/>
      <c r="L30" s="257"/>
      <c r="M30" s="257"/>
      <c r="N30" s="257"/>
      <c r="O30" s="257"/>
      <c r="P30" s="257"/>
      <c r="Q30" s="257"/>
      <c r="R30" s="257"/>
      <c r="S30" s="257"/>
      <c r="T30" s="257"/>
      <c r="U30" s="257"/>
      <c r="X30" s="886" t="s">
        <v>443</v>
      </c>
      <c r="Y30" s="497">
        <f>SUM(Y16:Y29)</f>
        <v>1046462.9689999998</v>
      </c>
      <c r="Z30" s="257"/>
      <c r="AA30" s="257"/>
      <c r="AB30" s="257"/>
      <c r="AC30" s="257"/>
      <c r="AD30" s="257"/>
      <c r="AE30" s="257"/>
      <c r="AF30" s="257"/>
    </row>
    <row r="31" spans="1:32">
      <c r="A31" s="257" t="s">
        <v>444</v>
      </c>
      <c r="B31" s="257"/>
      <c r="C31" s="257"/>
      <c r="D31" s="257"/>
      <c r="E31" s="257"/>
      <c r="F31" s="257"/>
      <c r="G31" s="257"/>
      <c r="H31" s="257"/>
      <c r="I31" s="257"/>
      <c r="J31" s="257"/>
      <c r="K31" s="257"/>
      <c r="L31" s="257"/>
      <c r="M31" s="257"/>
      <c r="N31" s="257"/>
      <c r="O31" s="257"/>
      <c r="P31" s="257"/>
      <c r="Q31" s="257"/>
      <c r="R31" s="257"/>
      <c r="S31" s="257"/>
      <c r="T31" s="257"/>
      <c r="U31" s="257"/>
      <c r="V31" s="868"/>
      <c r="X31" s="889" t="s">
        <v>445</v>
      </c>
      <c r="Y31" s="497">
        <f>Y30/5</f>
        <v>209292.59379999997</v>
      </c>
      <c r="Z31" s="257"/>
      <c r="AA31" s="257"/>
      <c r="AB31" s="257"/>
      <c r="AC31" s="257"/>
      <c r="AD31" s="257"/>
      <c r="AE31" s="257"/>
      <c r="AF31" s="257"/>
    </row>
    <row r="32" spans="1:32">
      <c r="P32" s="257"/>
      <c r="Q32" s="257"/>
      <c r="R32" s="257"/>
      <c r="S32" s="257"/>
      <c r="T32" s="257"/>
      <c r="U32" s="257"/>
      <c r="V32" s="257"/>
      <c r="W32" s="257"/>
      <c r="X32" s="257"/>
      <c r="Y32" s="257"/>
      <c r="Z32" s="257"/>
      <c r="AA32" s="257"/>
      <c r="AB32" s="257"/>
      <c r="AC32" s="257"/>
      <c r="AD32" s="257"/>
      <c r="AE32" s="257"/>
      <c r="AF32" s="257"/>
    </row>
    <row r="33" spans="1:32" ht="15.75">
      <c r="A33" s="1085" t="s">
        <v>821</v>
      </c>
      <c r="P33" s="436"/>
      <c r="Q33" s="436"/>
      <c r="AB33" s="257"/>
      <c r="AC33" s="257"/>
      <c r="AD33" s="257"/>
      <c r="AE33" s="257"/>
      <c r="AF33" s="257"/>
    </row>
    <row r="34" spans="1:32">
      <c r="A34" s="327"/>
      <c r="B34" s="1564" t="s">
        <v>232</v>
      </c>
      <c r="C34" s="1564" t="s">
        <v>231</v>
      </c>
      <c r="D34" s="1552" t="s">
        <v>344</v>
      </c>
      <c r="E34" s="1552"/>
      <c r="F34" s="1552"/>
      <c r="G34" s="1552"/>
      <c r="H34" s="1552"/>
      <c r="I34" s="1552"/>
      <c r="J34" s="1552"/>
      <c r="K34" s="1552"/>
      <c r="L34" s="1552"/>
      <c r="M34" s="1553"/>
      <c r="N34" s="1552" t="s">
        <v>32</v>
      </c>
      <c r="O34" s="1552"/>
      <c r="P34" s="1552"/>
      <c r="Q34" s="1553"/>
      <c r="R34" s="1566" t="s">
        <v>345</v>
      </c>
      <c r="S34" s="1566" t="s">
        <v>414</v>
      </c>
      <c r="T34" s="1568" t="s">
        <v>233</v>
      </c>
      <c r="U34" s="1555" t="s">
        <v>424</v>
      </c>
      <c r="V34" s="1554" t="s">
        <v>425</v>
      </c>
      <c r="W34" s="1554" t="s">
        <v>426</v>
      </c>
      <c r="X34" s="1554" t="s">
        <v>427</v>
      </c>
      <c r="Y34" s="1555" t="s">
        <v>428</v>
      </c>
      <c r="Z34" s="257"/>
      <c r="AA34" s="257"/>
      <c r="AB34" s="257"/>
      <c r="AC34" s="257"/>
      <c r="AD34" s="257"/>
      <c r="AE34" s="257"/>
    </row>
    <row r="35" spans="1:32" ht="60">
      <c r="A35" s="327"/>
      <c r="B35" s="1565"/>
      <c r="C35" s="1565"/>
      <c r="D35" s="1552" t="s">
        <v>347</v>
      </c>
      <c r="E35" s="1552"/>
      <c r="F35" s="1553"/>
      <c r="G35" s="1552" t="s">
        <v>348</v>
      </c>
      <c r="H35" s="1552"/>
      <c r="I35" s="1553"/>
      <c r="J35" s="328" t="s">
        <v>349</v>
      </c>
      <c r="K35" s="1552" t="s">
        <v>350</v>
      </c>
      <c r="L35" s="1552"/>
      <c r="M35" s="1553"/>
      <c r="N35" s="1550" t="s">
        <v>351</v>
      </c>
      <c r="O35" s="1550" t="s">
        <v>352</v>
      </c>
      <c r="P35" s="1550" t="s">
        <v>353</v>
      </c>
      <c r="Q35" s="1550" t="s">
        <v>354</v>
      </c>
      <c r="R35" s="1550"/>
      <c r="S35" s="1550"/>
      <c r="T35" s="1569"/>
      <c r="U35" s="1555"/>
      <c r="V35" s="1554"/>
      <c r="W35" s="1554"/>
      <c r="X35" s="1554"/>
      <c r="Y35" s="1555"/>
      <c r="Z35" s="257"/>
      <c r="AA35" s="257"/>
      <c r="AB35" s="257"/>
      <c r="AC35" s="257"/>
      <c r="AD35" s="257"/>
      <c r="AE35" s="257"/>
    </row>
    <row r="36" spans="1:32" ht="45">
      <c r="A36" s="327"/>
      <c r="B36" s="1586"/>
      <c r="C36" s="1565"/>
      <c r="D36" s="328" t="s">
        <v>355</v>
      </c>
      <c r="E36" s="328" t="s">
        <v>356</v>
      </c>
      <c r="F36" s="328" t="s">
        <v>357</v>
      </c>
      <c r="G36" s="467" t="s">
        <v>355</v>
      </c>
      <c r="H36" s="467" t="s">
        <v>356</v>
      </c>
      <c r="I36" s="328" t="s">
        <v>358</v>
      </c>
      <c r="J36" s="467" t="s">
        <v>359</v>
      </c>
      <c r="K36" s="328" t="s">
        <v>360</v>
      </c>
      <c r="L36" s="328" t="s">
        <v>361</v>
      </c>
      <c r="M36" s="328" t="s">
        <v>362</v>
      </c>
      <c r="N36" s="1567"/>
      <c r="O36" s="1550"/>
      <c r="P36" s="1550"/>
      <c r="Q36" s="1550"/>
      <c r="R36" s="1567"/>
      <c r="S36" s="1567"/>
      <c r="T36" s="1570"/>
      <c r="U36" s="1555"/>
      <c r="V36" s="1554"/>
      <c r="W36" s="1554"/>
      <c r="X36" s="1554"/>
      <c r="Y36" s="1555"/>
      <c r="Z36" s="257"/>
      <c r="AA36" s="434"/>
      <c r="AB36" s="257"/>
      <c r="AC36" s="257"/>
      <c r="AD36" s="257"/>
      <c r="AE36" s="257"/>
    </row>
    <row r="37" spans="1:32">
      <c r="A37" s="329" t="s">
        <v>429</v>
      </c>
      <c r="B37" s="330" t="str">
        <f>0&amp;6033</f>
        <v>06033</v>
      </c>
      <c r="C37" s="879" t="s">
        <v>364</v>
      </c>
      <c r="D37" s="331">
        <v>81</v>
      </c>
      <c r="E37" s="331">
        <v>50</v>
      </c>
      <c r="F37" s="463">
        <v>0</v>
      </c>
      <c r="G37" s="468">
        <f>D37*$B$9</f>
        <v>19.439999999999998</v>
      </c>
      <c r="H37" s="468">
        <f>E37*$C$9</f>
        <v>7.23</v>
      </c>
      <c r="I37" s="463">
        <v>0</v>
      </c>
      <c r="J37" s="468">
        <f>(G37+H37)*$E$9</f>
        <v>6.2914529999999997</v>
      </c>
      <c r="K37" s="332">
        <f>L37+M37</f>
        <v>7.87</v>
      </c>
      <c r="L37" s="332">
        <v>1.83</v>
      </c>
      <c r="M37" s="332">
        <v>6.04</v>
      </c>
      <c r="N37" s="463">
        <v>12.94</v>
      </c>
      <c r="O37" s="468">
        <f>(G37+H37+I37)*$H$9</f>
        <v>7.6196190000000001</v>
      </c>
      <c r="P37" s="468">
        <f>(G37+H37+I37)*$I$9</f>
        <v>0.53873399999999994</v>
      </c>
      <c r="Q37" s="468">
        <f>(G37+H37+I37)*$J$9</f>
        <v>0.85877399999999993</v>
      </c>
      <c r="R37" s="333">
        <f>G37+H37+I37+J37+K37+N37+O37+P37+Q37</f>
        <v>62.788579999999989</v>
      </c>
      <c r="S37" s="333">
        <v>4</v>
      </c>
      <c r="T37" s="334">
        <f t="shared" ref="T37:T56" si="17">R37-S37</f>
        <v>58.788579999999989</v>
      </c>
      <c r="U37" s="1588">
        <f>T37-T38</f>
        <v>7.4585799999999907</v>
      </c>
      <c r="V37" s="1591">
        <v>2500</v>
      </c>
      <c r="W37" s="1589">
        <v>1.5</v>
      </c>
      <c r="X37" s="1590">
        <f>V37*W37</f>
        <v>3750</v>
      </c>
      <c r="Y37" s="1573">
        <f>X37*T37</f>
        <v>220457.17499999996</v>
      </c>
      <c r="Z37" s="1587"/>
      <c r="AA37" s="1551"/>
      <c r="AB37" s="257"/>
      <c r="AC37" s="257"/>
      <c r="AD37" s="257"/>
      <c r="AE37" s="257"/>
    </row>
    <row r="38" spans="1:32">
      <c r="A38" s="329" t="s">
        <v>430</v>
      </c>
      <c r="B38" s="338" t="str">
        <f>0&amp;6033</f>
        <v>06033</v>
      </c>
      <c r="C38" s="880" t="s">
        <v>364</v>
      </c>
      <c r="D38" s="339">
        <v>81</v>
      </c>
      <c r="E38" s="340">
        <v>50</v>
      </c>
      <c r="F38" s="341">
        <v>0</v>
      </c>
      <c r="G38" s="529">
        <f t="shared" ref="G38:G56" si="18">D38*$B$9</f>
        <v>19.439999999999998</v>
      </c>
      <c r="H38" s="529">
        <f t="shared" ref="H38:H56" si="19">E38*$C$9</f>
        <v>7.23</v>
      </c>
      <c r="I38" s="343">
        <v>0</v>
      </c>
      <c r="J38" s="529">
        <f t="shared" ref="J38:J56" si="20">(G38+H38)*$E$9</f>
        <v>6.2914529999999997</v>
      </c>
      <c r="K38" s="339">
        <v>0.86</v>
      </c>
      <c r="L38" s="340">
        <v>0</v>
      </c>
      <c r="M38" s="340">
        <v>0.86</v>
      </c>
      <c r="N38" s="341">
        <v>8.49</v>
      </c>
      <c r="O38" s="529">
        <f>(G38+H38+I38)*$H$9+4</f>
        <v>11.619619</v>
      </c>
      <c r="P38" s="529">
        <f t="shared" ref="P38:P56" si="21">(G38+H38+I38)*$I$9</f>
        <v>0.53873399999999994</v>
      </c>
      <c r="Q38" s="529">
        <f t="shared" ref="Q38:Q56" si="22">(G38+H38+I38)*$J$9</f>
        <v>0.85877399999999993</v>
      </c>
      <c r="R38" s="351">
        <f>G38+H38+I38+J38+K38+N38+O38+P38+Q38</f>
        <v>55.328579999999995</v>
      </c>
      <c r="S38" s="342">
        <v>4</v>
      </c>
      <c r="T38" s="351">
        <f>ROUND(R38-S38,2)</f>
        <v>51.33</v>
      </c>
      <c r="U38" s="1584"/>
      <c r="V38" s="1592"/>
      <c r="W38" s="1580"/>
      <c r="X38" s="1581"/>
      <c r="Y38" s="1582"/>
      <c r="Z38" s="1587"/>
      <c r="AA38" s="1551"/>
      <c r="AB38" s="257"/>
      <c r="AC38" s="257"/>
      <c r="AD38" s="257"/>
      <c r="AE38" s="257"/>
    </row>
    <row r="39" spans="1:32">
      <c r="A39" s="329" t="s">
        <v>429</v>
      </c>
      <c r="B39" s="344" t="str">
        <f>0&amp;6015</f>
        <v>06015</v>
      </c>
      <c r="C39" s="329" t="s">
        <v>431</v>
      </c>
      <c r="D39" s="345">
        <v>75</v>
      </c>
      <c r="E39" s="345">
        <v>45</v>
      </c>
      <c r="F39" s="464">
        <v>0</v>
      </c>
      <c r="G39" s="468">
        <f t="shared" si="18"/>
        <v>18</v>
      </c>
      <c r="H39" s="468">
        <f t="shared" si="19"/>
        <v>6.5070000000000006</v>
      </c>
      <c r="I39" s="472">
        <v>0</v>
      </c>
      <c r="J39" s="468">
        <f t="shared" si="20"/>
        <v>5.7812013000000002</v>
      </c>
      <c r="K39" s="469">
        <f t="shared" ref="K39:K56" si="23">L39+M39</f>
        <v>6.38</v>
      </c>
      <c r="L39" s="345">
        <v>0.05</v>
      </c>
      <c r="M39" s="345">
        <v>6.33</v>
      </c>
      <c r="N39" s="464">
        <v>4.1399999999999997</v>
      </c>
      <c r="O39" s="468">
        <f t="shared" ref="O39:O56" si="24">(G39+H39+I39)*$H$9</f>
        <v>7.0016499000000003</v>
      </c>
      <c r="P39" s="468">
        <f t="shared" si="21"/>
        <v>0.49504140000000002</v>
      </c>
      <c r="Q39" s="468">
        <f t="shared" si="22"/>
        <v>0.78912540000000009</v>
      </c>
      <c r="R39" s="476">
        <f>G39+H39+I39+J39+K39+N39+O39+P39+Q39</f>
        <v>49.094017999999998</v>
      </c>
      <c r="S39" s="346">
        <v>4</v>
      </c>
      <c r="T39" s="347">
        <f t="shared" si="17"/>
        <v>45.094017999999998</v>
      </c>
      <c r="U39" s="1584">
        <f>T39-T40</f>
        <v>8.1650459999999967</v>
      </c>
      <c r="V39" s="1578">
        <v>500</v>
      </c>
      <c r="W39" s="1580">
        <v>1</v>
      </c>
      <c r="X39" s="1581">
        <f>W39*V39</f>
        <v>500</v>
      </c>
      <c r="Y39" s="1582">
        <f>X39*T39</f>
        <v>22547.008999999998</v>
      </c>
      <c r="Z39" s="1587"/>
      <c r="AA39" s="1556"/>
      <c r="AB39" s="257"/>
      <c r="AC39" s="257"/>
      <c r="AD39" s="257"/>
      <c r="AE39" s="257"/>
    </row>
    <row r="40" spans="1:32">
      <c r="A40" s="329" t="s">
        <v>430</v>
      </c>
      <c r="B40" s="348" t="str">
        <f>0&amp;6015</f>
        <v>06015</v>
      </c>
      <c r="C40" s="349" t="s">
        <v>431</v>
      </c>
      <c r="D40" s="340">
        <v>71</v>
      </c>
      <c r="E40" s="340">
        <v>30</v>
      </c>
      <c r="F40" s="341">
        <v>0</v>
      </c>
      <c r="G40" s="529">
        <f t="shared" si="18"/>
        <v>17.04</v>
      </c>
      <c r="H40" s="529">
        <f t="shared" si="19"/>
        <v>4.3380000000000001</v>
      </c>
      <c r="I40" s="343">
        <v>0</v>
      </c>
      <c r="J40" s="529">
        <f t="shared" si="20"/>
        <v>5.0430701999999998</v>
      </c>
      <c r="K40" s="339">
        <f t="shared" si="23"/>
        <v>1.1299999999999999</v>
      </c>
      <c r="L40" s="340">
        <v>0</v>
      </c>
      <c r="M40" s="340">
        <v>1.1299999999999999</v>
      </c>
      <c r="N40" s="341">
        <v>2.15</v>
      </c>
      <c r="O40" s="529">
        <f>(G40+H40+I40)*$H$9+4</f>
        <v>10.1076946</v>
      </c>
      <c r="P40" s="529">
        <f t="shared" si="21"/>
        <v>0.43183559999999999</v>
      </c>
      <c r="Q40" s="529">
        <f t="shared" si="22"/>
        <v>0.68837159999999997</v>
      </c>
      <c r="R40" s="351">
        <f>G40+H40+J40+K40+N40+O40+P40+Q40</f>
        <v>40.928972000000002</v>
      </c>
      <c r="S40" s="350">
        <v>4</v>
      </c>
      <c r="T40" s="351">
        <f t="shared" si="17"/>
        <v>36.928972000000002</v>
      </c>
      <c r="U40" s="1585"/>
      <c r="V40" s="1579"/>
      <c r="W40" s="1580"/>
      <c r="X40" s="1581"/>
      <c r="Y40" s="1582"/>
      <c r="Z40" s="1587"/>
      <c r="AA40" s="1556"/>
      <c r="AB40" s="257"/>
      <c r="AC40" s="257"/>
      <c r="AD40" s="257"/>
      <c r="AE40" s="257"/>
    </row>
    <row r="41" spans="1:32" ht="30">
      <c r="A41" s="329" t="s">
        <v>432</v>
      </c>
      <c r="B41" s="344" t="s">
        <v>433</v>
      </c>
      <c r="C41" s="881" t="s">
        <v>434</v>
      </c>
      <c r="D41" s="352">
        <v>70</v>
      </c>
      <c r="E41" s="352">
        <v>0</v>
      </c>
      <c r="F41" s="336">
        <v>0</v>
      </c>
      <c r="G41" s="468">
        <f t="shared" si="18"/>
        <v>16.8</v>
      </c>
      <c r="H41" s="468">
        <f t="shared" si="19"/>
        <v>0</v>
      </c>
      <c r="I41" s="473">
        <v>0</v>
      </c>
      <c r="J41" s="468">
        <f t="shared" si="20"/>
        <v>3.96312</v>
      </c>
      <c r="K41" s="465">
        <f t="shared" si="23"/>
        <v>3.07</v>
      </c>
      <c r="L41" s="352">
        <v>0.05</v>
      </c>
      <c r="M41" s="352">
        <v>3.02</v>
      </c>
      <c r="N41" s="336">
        <v>4.1399999999999997</v>
      </c>
      <c r="O41" s="468">
        <f t="shared" si="24"/>
        <v>4.79976</v>
      </c>
      <c r="P41" s="468">
        <f t="shared" si="21"/>
        <v>0.33935999999999999</v>
      </c>
      <c r="Q41" s="468">
        <f t="shared" si="22"/>
        <v>0.54096</v>
      </c>
      <c r="R41" s="477">
        <f>G41+J41+K41+N41+O41+P41+Q41</f>
        <v>33.653199999999998</v>
      </c>
      <c r="S41" s="354">
        <v>4</v>
      </c>
      <c r="T41" s="355">
        <f t="shared" si="17"/>
        <v>29.653199999999998</v>
      </c>
      <c r="U41" s="335" t="s">
        <v>435</v>
      </c>
      <c r="V41" s="863">
        <v>500</v>
      </c>
      <c r="W41" s="863">
        <v>1</v>
      </c>
      <c r="X41" s="336">
        <f>W41*V41</f>
        <v>500</v>
      </c>
      <c r="Y41" s="337">
        <f>T41*X41</f>
        <v>14826.599999999999</v>
      </c>
      <c r="Z41" s="257"/>
      <c r="AA41" s="257"/>
      <c r="AB41" s="257"/>
      <c r="AC41" s="257"/>
      <c r="AD41" s="257"/>
      <c r="AE41" s="257"/>
    </row>
    <row r="42" spans="1:32" ht="30">
      <c r="A42" s="329" t="s">
        <v>429</v>
      </c>
      <c r="B42" s="356" t="str">
        <f>0&amp;6003</f>
        <v>06003</v>
      </c>
      <c r="C42" s="882" t="s">
        <v>436</v>
      </c>
      <c r="D42" s="324">
        <v>0</v>
      </c>
      <c r="E42" s="324">
        <v>15</v>
      </c>
      <c r="F42" s="375">
        <v>0</v>
      </c>
      <c r="G42" s="468">
        <f t="shared" si="18"/>
        <v>0</v>
      </c>
      <c r="H42" s="468">
        <f t="shared" si="19"/>
        <v>2.169</v>
      </c>
      <c r="I42" s="474">
        <v>0</v>
      </c>
      <c r="J42" s="468">
        <f t="shared" si="20"/>
        <v>0.51166710000000004</v>
      </c>
      <c r="K42" s="470">
        <f t="shared" si="23"/>
        <v>0.61</v>
      </c>
      <c r="L42" s="324">
        <v>0</v>
      </c>
      <c r="M42" s="324">
        <v>0.61</v>
      </c>
      <c r="N42" s="375">
        <v>0.48</v>
      </c>
      <c r="O42" s="468">
        <f t="shared" si="24"/>
        <v>0.61968330000000005</v>
      </c>
      <c r="P42" s="468">
        <f t="shared" si="21"/>
        <v>4.38138E-2</v>
      </c>
      <c r="Q42" s="468">
        <f t="shared" si="22"/>
        <v>6.9841799999999996E-2</v>
      </c>
      <c r="R42" s="478">
        <f>H42+J42+K42+N42+O42+P42+Q42</f>
        <v>4.5040059999999995</v>
      </c>
      <c r="S42" s="353">
        <v>2</v>
      </c>
      <c r="T42" s="358">
        <f t="shared" si="17"/>
        <v>2.5040059999999995</v>
      </c>
      <c r="U42" s="1584">
        <f>T42-T43</f>
        <v>0.67400599999999988</v>
      </c>
      <c r="V42" s="1593">
        <v>2500</v>
      </c>
      <c r="W42" s="1580">
        <v>2</v>
      </c>
      <c r="X42" s="1593">
        <f>W42*V42</f>
        <v>5000</v>
      </c>
      <c r="Y42" s="1582">
        <f>X42*T42</f>
        <v>12520.029999999997</v>
      </c>
      <c r="Z42" s="1587"/>
      <c r="AA42" s="1551"/>
      <c r="AB42" s="257"/>
      <c r="AC42" s="257"/>
      <c r="AD42" s="257"/>
      <c r="AE42" s="257"/>
    </row>
    <row r="43" spans="1:32" ht="30">
      <c r="A43" s="329" t="s">
        <v>430</v>
      </c>
      <c r="B43" s="344" t="str">
        <f>0&amp;6003</f>
        <v>06003</v>
      </c>
      <c r="C43" s="883" t="s">
        <v>436</v>
      </c>
      <c r="D43" s="325">
        <v>0</v>
      </c>
      <c r="E43" s="325">
        <v>6</v>
      </c>
      <c r="F43" s="359">
        <v>0</v>
      </c>
      <c r="G43" s="529">
        <f t="shared" si="18"/>
        <v>0</v>
      </c>
      <c r="H43" s="529">
        <f>ROUNDUP(E43*$C$9,2)</f>
        <v>0.87</v>
      </c>
      <c r="I43" s="471">
        <v>0</v>
      </c>
      <c r="J43" s="529">
        <f t="shared" si="20"/>
        <v>0.205233</v>
      </c>
      <c r="K43" s="367">
        <f t="shared" si="23"/>
        <v>0.09</v>
      </c>
      <c r="L43" s="325">
        <v>0</v>
      </c>
      <c r="M43" s="325">
        <v>0.09</v>
      </c>
      <c r="N43" s="359">
        <v>0.36</v>
      </c>
      <c r="O43" s="529">
        <f>ROUND((G43+H43+I43)*$H$9+2,2)</f>
        <v>2.25</v>
      </c>
      <c r="P43" s="529">
        <f t="shared" si="21"/>
        <v>1.7573999999999999E-2</v>
      </c>
      <c r="Q43" s="529">
        <f t="shared" si="22"/>
        <v>2.8014000000000001E-2</v>
      </c>
      <c r="R43" s="466">
        <f>ROUNDUP(H43+J43+K43+N43+O43+P43+Q43,2)</f>
        <v>3.8299999999999996</v>
      </c>
      <c r="S43" s="323">
        <v>2</v>
      </c>
      <c r="T43" s="359">
        <f t="shared" si="17"/>
        <v>1.8299999999999996</v>
      </c>
      <c r="U43" s="1585"/>
      <c r="V43" s="1592"/>
      <c r="W43" s="1580"/>
      <c r="X43" s="1592"/>
      <c r="Y43" s="1582"/>
      <c r="Z43" s="1587"/>
      <c r="AA43" s="1551"/>
      <c r="AB43" s="257"/>
      <c r="AC43" s="257"/>
      <c r="AD43" s="257"/>
      <c r="AE43" s="257"/>
    </row>
    <row r="44" spans="1:32" ht="30">
      <c r="A44" s="329" t="s">
        <v>430</v>
      </c>
      <c r="B44" s="360" t="str">
        <f>0&amp;6004</f>
        <v>06004</v>
      </c>
      <c r="C44" s="884" t="s">
        <v>437</v>
      </c>
      <c r="D44" s="325">
        <v>15</v>
      </c>
      <c r="E44" s="325">
        <v>0</v>
      </c>
      <c r="F44" s="359">
        <v>0</v>
      </c>
      <c r="G44" s="529">
        <f t="shared" si="18"/>
        <v>3.5999999999999996</v>
      </c>
      <c r="H44" s="529">
        <f t="shared" si="19"/>
        <v>0</v>
      </c>
      <c r="I44" s="471">
        <v>0</v>
      </c>
      <c r="J44" s="529">
        <f t="shared" si="20"/>
        <v>0.84923999999999988</v>
      </c>
      <c r="K44" s="367">
        <f t="shared" si="23"/>
        <v>0.39</v>
      </c>
      <c r="L44" s="325">
        <v>0</v>
      </c>
      <c r="M44" s="325">
        <v>0.39</v>
      </c>
      <c r="N44" s="475">
        <v>0</v>
      </c>
      <c r="O44" s="529">
        <f t="shared" si="24"/>
        <v>1.0285199999999999</v>
      </c>
      <c r="P44" s="529">
        <f t="shared" si="21"/>
        <v>7.2719999999999993E-2</v>
      </c>
      <c r="Q44" s="529">
        <f t="shared" si="22"/>
        <v>0.11591999999999998</v>
      </c>
      <c r="R44" s="479">
        <f>G44+J44+K44+N44+O44+P44+Q44</f>
        <v>6.0563999999999991</v>
      </c>
      <c r="S44" s="361">
        <v>0</v>
      </c>
      <c r="T44" s="362">
        <f t="shared" si="17"/>
        <v>6.0563999999999991</v>
      </c>
      <c r="U44" s="352" t="s">
        <v>435</v>
      </c>
      <c r="V44" s="336">
        <v>2500</v>
      </c>
      <c r="W44" s="863">
        <v>2</v>
      </c>
      <c r="X44" s="336">
        <f>W44*V44</f>
        <v>5000</v>
      </c>
      <c r="Y44" s="337">
        <f>X44*T44</f>
        <v>30281.999999999996</v>
      </c>
      <c r="Z44" s="257"/>
      <c r="AA44" s="257"/>
      <c r="AB44" s="257"/>
      <c r="AC44" s="257"/>
      <c r="AD44" s="257"/>
      <c r="AE44" s="257"/>
    </row>
    <row r="45" spans="1:32">
      <c r="A45" s="329" t="s">
        <v>430</v>
      </c>
      <c r="B45" s="338" t="str">
        <f>0&amp;6021</f>
        <v>06021</v>
      </c>
      <c r="C45" s="349" t="s">
        <v>363</v>
      </c>
      <c r="D45" s="325">
        <v>36</v>
      </c>
      <c r="E45" s="325">
        <v>35</v>
      </c>
      <c r="F45" s="359">
        <v>0</v>
      </c>
      <c r="G45" s="529">
        <f t="shared" si="18"/>
        <v>8.64</v>
      </c>
      <c r="H45" s="529">
        <f t="shared" si="19"/>
        <v>5.0609999999999999</v>
      </c>
      <c r="I45" s="471">
        <v>0</v>
      </c>
      <c r="J45" s="529">
        <f t="shared" si="20"/>
        <v>3.2320659000000003</v>
      </c>
      <c r="K45" s="367">
        <f t="shared" si="23"/>
        <v>1.67</v>
      </c>
      <c r="L45" s="325">
        <v>0</v>
      </c>
      <c r="M45" s="325">
        <v>1.67</v>
      </c>
      <c r="N45" s="475">
        <v>3</v>
      </c>
      <c r="O45" s="529">
        <f>ROUND((G45+H45+I45)*$H$9+4,2)</f>
        <v>7.91</v>
      </c>
      <c r="P45" s="529">
        <f t="shared" si="21"/>
        <v>0.27676020000000001</v>
      </c>
      <c r="Q45" s="529">
        <f t="shared" si="22"/>
        <v>0.44117220000000001</v>
      </c>
      <c r="R45" s="479">
        <f>H45+J45+G45+K45+N45+O45+P45+Q45</f>
        <v>30.230998300000007</v>
      </c>
      <c r="S45" s="354">
        <v>4</v>
      </c>
      <c r="T45" s="362">
        <f t="shared" si="17"/>
        <v>26.230998300000007</v>
      </c>
      <c r="U45" s="1594">
        <f>T46-T45</f>
        <v>2.4502196999999875</v>
      </c>
      <c r="V45" s="1593">
        <v>250</v>
      </c>
      <c r="W45" s="1578">
        <v>1</v>
      </c>
      <c r="X45" s="1593">
        <f>W45*V45</f>
        <v>250</v>
      </c>
      <c r="Y45" s="1572">
        <f>X45*T46</f>
        <v>7170.3044999999984</v>
      </c>
      <c r="Z45" s="1574"/>
      <c r="AA45" s="1576"/>
      <c r="AB45" s="257"/>
      <c r="AC45" s="257"/>
      <c r="AD45" s="257"/>
      <c r="AE45" s="257"/>
    </row>
    <row r="46" spans="1:32">
      <c r="A46" s="329" t="s">
        <v>429</v>
      </c>
      <c r="B46" s="338" t="str">
        <f>0&amp;6021</f>
        <v>06021</v>
      </c>
      <c r="C46" s="349" t="s">
        <v>363</v>
      </c>
      <c r="D46" s="325">
        <v>45</v>
      </c>
      <c r="E46" s="325">
        <v>45</v>
      </c>
      <c r="F46" s="359">
        <v>0</v>
      </c>
      <c r="G46" s="468">
        <f t="shared" si="18"/>
        <v>10.799999999999999</v>
      </c>
      <c r="H46" s="468">
        <f t="shared" si="19"/>
        <v>6.5070000000000006</v>
      </c>
      <c r="I46" s="471">
        <v>0</v>
      </c>
      <c r="J46" s="468">
        <f t="shared" si="20"/>
        <v>4.0827212999999993</v>
      </c>
      <c r="K46" s="367">
        <f t="shared" si="23"/>
        <v>3.2</v>
      </c>
      <c r="L46" s="325">
        <v>0.93</v>
      </c>
      <c r="M46" s="325">
        <v>2.27</v>
      </c>
      <c r="N46" s="475">
        <v>2.2400000000000002</v>
      </c>
      <c r="O46" s="468">
        <f t="shared" si="24"/>
        <v>4.9446098999999997</v>
      </c>
      <c r="P46" s="468">
        <f t="shared" si="21"/>
        <v>0.34960139999999995</v>
      </c>
      <c r="Q46" s="468">
        <f t="shared" si="22"/>
        <v>0.55728539999999993</v>
      </c>
      <c r="R46" s="479">
        <f>H46+J46+G46+K46+N46+O46+P46+Q46</f>
        <v>32.681217999999994</v>
      </c>
      <c r="S46" s="354">
        <v>4</v>
      </c>
      <c r="T46" s="362">
        <f t="shared" si="17"/>
        <v>28.681217999999994</v>
      </c>
      <c r="U46" s="1592"/>
      <c r="V46" s="1592"/>
      <c r="W46" s="1579"/>
      <c r="X46" s="1592"/>
      <c r="Y46" s="1573"/>
      <c r="Z46" s="1575"/>
      <c r="AA46" s="1577"/>
      <c r="AB46" s="257"/>
      <c r="AC46" s="257"/>
      <c r="AD46" s="257"/>
      <c r="AE46" s="257"/>
    </row>
    <row r="47" spans="1:32" ht="30">
      <c r="A47" s="349" t="s">
        <v>432</v>
      </c>
      <c r="B47" s="366" t="s">
        <v>438</v>
      </c>
      <c r="C47" s="884" t="s">
        <v>416</v>
      </c>
      <c r="D47" s="325">
        <v>20</v>
      </c>
      <c r="E47" s="325">
        <v>40</v>
      </c>
      <c r="F47" s="359">
        <v>0</v>
      </c>
      <c r="G47" s="495">
        <f t="shared" si="18"/>
        <v>4.8</v>
      </c>
      <c r="H47" s="495">
        <f t="shared" si="19"/>
        <v>5.7840000000000007</v>
      </c>
      <c r="I47" s="471">
        <v>0</v>
      </c>
      <c r="J47" s="495">
        <f t="shared" si="20"/>
        <v>2.4967655999999998</v>
      </c>
      <c r="K47" s="367">
        <f t="shared" si="23"/>
        <v>3.7600000000000002</v>
      </c>
      <c r="L47" s="325">
        <v>0.6</v>
      </c>
      <c r="M47" s="325">
        <v>3.16</v>
      </c>
      <c r="N47" s="359">
        <v>8.39</v>
      </c>
      <c r="O47" s="495">
        <f t="shared" si="24"/>
        <v>3.0238488000000001</v>
      </c>
      <c r="P47" s="495">
        <f t="shared" si="21"/>
        <v>0.21379679999999998</v>
      </c>
      <c r="Q47" s="495">
        <f t="shared" si="22"/>
        <v>0.34080479999999996</v>
      </c>
      <c r="R47" s="479">
        <f t="shared" ref="R47:R56" si="25">G47+H47+J47+K47+N47+O47+P47+Q47</f>
        <v>28.809216000000003</v>
      </c>
      <c r="S47" s="354">
        <v>4</v>
      </c>
      <c r="T47" s="362">
        <f t="shared" si="17"/>
        <v>24.809216000000003</v>
      </c>
      <c r="U47" s="325" t="s">
        <v>435</v>
      </c>
      <c r="V47" s="359">
        <v>375</v>
      </c>
      <c r="W47" s="866">
        <v>1</v>
      </c>
      <c r="X47" s="359">
        <f t="shared" ref="X47:X56" si="26">W47*V47</f>
        <v>375</v>
      </c>
      <c r="Y47" s="368">
        <f t="shared" ref="Y47:Y57" si="27">X47*T47</f>
        <v>9303.4560000000019</v>
      </c>
      <c r="Z47" s="365"/>
      <c r="AA47" s="369"/>
      <c r="AB47" s="257"/>
      <c r="AC47" s="257"/>
      <c r="AD47" s="257"/>
      <c r="AE47" s="257"/>
    </row>
    <row r="48" spans="1:32" ht="60">
      <c r="A48" s="532" t="s">
        <v>430</v>
      </c>
      <c r="B48" s="533">
        <v>60037</v>
      </c>
      <c r="C48" s="441" t="s">
        <v>439</v>
      </c>
      <c r="D48" s="443">
        <v>30</v>
      </c>
      <c r="E48" s="443">
        <v>10</v>
      </c>
      <c r="F48" s="443">
        <v>0</v>
      </c>
      <c r="G48" s="529">
        <f t="shared" si="18"/>
        <v>7.1999999999999993</v>
      </c>
      <c r="H48" s="529">
        <f t="shared" si="19"/>
        <v>1.4460000000000002</v>
      </c>
      <c r="I48" s="443">
        <v>0</v>
      </c>
      <c r="J48" s="529">
        <f t="shared" si="20"/>
        <v>2.0395913999999999</v>
      </c>
      <c r="K48" s="443">
        <f t="shared" si="23"/>
        <v>0</v>
      </c>
      <c r="L48" s="443">
        <v>0</v>
      </c>
      <c r="M48" s="443">
        <v>0</v>
      </c>
      <c r="N48" s="443">
        <v>0</v>
      </c>
      <c r="O48" s="529">
        <f t="shared" si="24"/>
        <v>2.4701621999999999</v>
      </c>
      <c r="P48" s="529">
        <f t="shared" si="21"/>
        <v>0.17464919999999998</v>
      </c>
      <c r="Q48" s="529">
        <f t="shared" si="22"/>
        <v>0.27840119999999996</v>
      </c>
      <c r="R48" s="442">
        <f t="shared" si="25"/>
        <v>13.608803999999999</v>
      </c>
      <c r="S48" s="443">
        <v>0</v>
      </c>
      <c r="T48" s="442">
        <f t="shared" si="17"/>
        <v>13.608803999999999</v>
      </c>
      <c r="U48" s="443" t="s">
        <v>435</v>
      </c>
      <c r="V48" s="443">
        <v>1250</v>
      </c>
      <c r="W48" s="867">
        <v>1</v>
      </c>
      <c r="X48" s="359">
        <f t="shared" si="26"/>
        <v>1250</v>
      </c>
      <c r="Y48" s="534">
        <f t="shared" si="27"/>
        <v>17011.004999999997</v>
      </c>
      <c r="Z48" s="370"/>
      <c r="AA48" s="371"/>
      <c r="AB48" s="257"/>
      <c r="AC48" s="257"/>
      <c r="AD48" s="257"/>
      <c r="AE48" s="257"/>
    </row>
    <row r="49" spans="1:32" ht="30">
      <c r="A49" s="532" t="s">
        <v>430</v>
      </c>
      <c r="B49" s="532" t="str">
        <f>0&amp;6068</f>
        <v>06068</v>
      </c>
      <c r="C49" s="441" t="s">
        <v>446</v>
      </c>
      <c r="D49" s="443">
        <v>40</v>
      </c>
      <c r="E49" s="443">
        <v>40</v>
      </c>
      <c r="F49" s="443">
        <v>0</v>
      </c>
      <c r="G49" s="468">
        <f t="shared" si="18"/>
        <v>9.6</v>
      </c>
      <c r="H49" s="468">
        <f t="shared" si="19"/>
        <v>5.7840000000000007</v>
      </c>
      <c r="I49" s="443">
        <v>0</v>
      </c>
      <c r="J49" s="468">
        <f t="shared" si="20"/>
        <v>3.6290856000000002</v>
      </c>
      <c r="K49" s="443">
        <f t="shared" si="23"/>
        <v>1.4</v>
      </c>
      <c r="L49" s="443">
        <v>0</v>
      </c>
      <c r="M49" s="443">
        <v>1.4</v>
      </c>
      <c r="N49" s="443">
        <v>1.42</v>
      </c>
      <c r="O49" s="468">
        <f t="shared" si="24"/>
        <v>4.3952087999999998</v>
      </c>
      <c r="P49" s="468">
        <f t="shared" si="21"/>
        <v>0.3107568</v>
      </c>
      <c r="Q49" s="468">
        <f t="shared" si="22"/>
        <v>0.49536479999999999</v>
      </c>
      <c r="R49" s="442">
        <f t="shared" si="25"/>
        <v>27.034415999999997</v>
      </c>
      <c r="S49" s="443">
        <v>0</v>
      </c>
      <c r="T49" s="442">
        <f t="shared" si="17"/>
        <v>27.034415999999997</v>
      </c>
      <c r="U49" s="443" t="s">
        <v>435</v>
      </c>
      <c r="V49" s="443">
        <v>500</v>
      </c>
      <c r="W49" s="867">
        <v>1</v>
      </c>
      <c r="X49" s="359">
        <f t="shared" si="26"/>
        <v>500</v>
      </c>
      <c r="Y49" s="534">
        <f t="shared" si="27"/>
        <v>13517.207999999999</v>
      </c>
      <c r="Z49" s="257"/>
      <c r="AA49" s="257"/>
      <c r="AB49" s="257"/>
      <c r="AC49" s="257"/>
      <c r="AD49" s="257"/>
      <c r="AE49" s="257"/>
    </row>
    <row r="50" spans="1:32" ht="30">
      <c r="A50" s="373" t="s">
        <v>430</v>
      </c>
      <c r="B50" s="373" t="str">
        <f>0&amp;6132</f>
        <v>06132</v>
      </c>
      <c r="C50" s="885" t="s">
        <v>447</v>
      </c>
      <c r="D50" s="324">
        <v>50</v>
      </c>
      <c r="E50" s="324">
        <v>30</v>
      </c>
      <c r="F50" s="375">
        <v>0</v>
      </c>
      <c r="G50" s="531">
        <f t="shared" si="18"/>
        <v>12</v>
      </c>
      <c r="H50" s="531">
        <f t="shared" si="19"/>
        <v>4.3380000000000001</v>
      </c>
      <c r="I50" s="474">
        <v>0</v>
      </c>
      <c r="J50" s="531">
        <f t="shared" si="20"/>
        <v>3.8541342000000003</v>
      </c>
      <c r="K50" s="470">
        <f t="shared" si="23"/>
        <v>0.56999999999999995</v>
      </c>
      <c r="L50" s="324">
        <v>0</v>
      </c>
      <c r="M50" s="324">
        <v>0.56999999999999995</v>
      </c>
      <c r="N50" s="375">
        <v>5.08</v>
      </c>
      <c r="O50" s="531">
        <f t="shared" si="24"/>
        <v>4.6677666000000002</v>
      </c>
      <c r="P50" s="531">
        <f t="shared" si="21"/>
        <v>0.33002760000000003</v>
      </c>
      <c r="Q50" s="531">
        <f t="shared" si="22"/>
        <v>0.52608359999999998</v>
      </c>
      <c r="R50" s="478">
        <f t="shared" si="25"/>
        <v>31.366012000000005</v>
      </c>
      <c r="S50" s="324">
        <v>0</v>
      </c>
      <c r="T50" s="357">
        <f t="shared" si="17"/>
        <v>31.366012000000005</v>
      </c>
      <c r="U50" s="324" t="s">
        <v>435</v>
      </c>
      <c r="V50" s="324">
        <v>1000</v>
      </c>
      <c r="W50" s="865">
        <v>3</v>
      </c>
      <c r="X50" s="359">
        <f t="shared" si="26"/>
        <v>3000</v>
      </c>
      <c r="Y50" s="364">
        <f t="shared" si="27"/>
        <v>94098.036000000022</v>
      </c>
      <c r="Z50" s="257"/>
      <c r="AA50" s="257"/>
      <c r="AB50" s="257"/>
      <c r="AC50" s="257"/>
      <c r="AD50" s="257"/>
      <c r="AE50" s="257"/>
    </row>
    <row r="51" spans="1:32" ht="30">
      <c r="A51" s="374" t="s">
        <v>430</v>
      </c>
      <c r="B51" s="374" t="str">
        <f>0&amp;6133</f>
        <v>06133</v>
      </c>
      <c r="C51" s="885" t="s">
        <v>448</v>
      </c>
      <c r="D51" s="324">
        <v>80</v>
      </c>
      <c r="E51" s="324">
        <v>40</v>
      </c>
      <c r="F51" s="375">
        <v>0</v>
      </c>
      <c r="G51" s="468">
        <f t="shared" si="18"/>
        <v>19.2</v>
      </c>
      <c r="H51" s="468">
        <f t="shared" si="19"/>
        <v>5.7840000000000007</v>
      </c>
      <c r="I51" s="474">
        <v>0</v>
      </c>
      <c r="J51" s="468">
        <f>ROUND((G51+H51)*$E$9,2)</f>
        <v>5.89</v>
      </c>
      <c r="K51" s="470">
        <f t="shared" si="23"/>
        <v>0.35</v>
      </c>
      <c r="L51" s="324">
        <v>0</v>
      </c>
      <c r="M51" s="324">
        <v>0.35</v>
      </c>
      <c r="N51" s="375">
        <v>7.06</v>
      </c>
      <c r="O51" s="468">
        <f>ROUND((G51+H51+I51)*$H$9,2)</f>
        <v>7.14</v>
      </c>
      <c r="P51" s="468">
        <f>ROUND((G51+H51+I51)*$I$9,2)</f>
        <v>0.5</v>
      </c>
      <c r="Q51" s="468">
        <f>ROUND((G51+H51+I51)*$J$9,2)</f>
        <v>0.8</v>
      </c>
      <c r="R51" s="478">
        <f t="shared" si="25"/>
        <v>46.724000000000004</v>
      </c>
      <c r="S51" s="324">
        <v>0</v>
      </c>
      <c r="T51" s="358">
        <f t="shared" si="17"/>
        <v>46.724000000000004</v>
      </c>
      <c r="U51" s="324" t="s">
        <v>435</v>
      </c>
      <c r="V51" s="324">
        <v>1000</v>
      </c>
      <c r="W51" s="865">
        <v>3</v>
      </c>
      <c r="X51" s="359">
        <f t="shared" si="26"/>
        <v>3000</v>
      </c>
      <c r="Y51" s="364">
        <f t="shared" si="27"/>
        <v>140172</v>
      </c>
      <c r="Z51" s="257"/>
      <c r="AA51" s="257"/>
      <c r="AB51" s="257"/>
      <c r="AC51" s="257"/>
      <c r="AD51" s="257"/>
      <c r="AE51" s="257"/>
    </row>
    <row r="52" spans="1:32" ht="30">
      <c r="A52" s="376" t="s">
        <v>430</v>
      </c>
      <c r="B52" s="376" t="str">
        <f>0&amp;6134</f>
        <v>06134</v>
      </c>
      <c r="C52" s="878" t="s">
        <v>449</v>
      </c>
      <c r="D52" s="352">
        <v>80</v>
      </c>
      <c r="E52" s="352">
        <v>40</v>
      </c>
      <c r="F52" s="336">
        <v>0</v>
      </c>
      <c r="G52" s="468">
        <f t="shared" si="18"/>
        <v>19.2</v>
      </c>
      <c r="H52" s="468">
        <f t="shared" si="19"/>
        <v>5.7840000000000007</v>
      </c>
      <c r="I52" s="473">
        <v>0</v>
      </c>
      <c r="J52" s="468">
        <f>ROUND((G52+H52)*$E$9,2)</f>
        <v>5.89</v>
      </c>
      <c r="K52" s="465">
        <f t="shared" si="23"/>
        <v>0.35</v>
      </c>
      <c r="L52" s="352">
        <v>0</v>
      </c>
      <c r="M52" s="352">
        <v>0.35</v>
      </c>
      <c r="N52" s="336">
        <v>7.06</v>
      </c>
      <c r="O52" s="468">
        <f>ROUND((G52+H52+I52)*$H$9,2)</f>
        <v>7.14</v>
      </c>
      <c r="P52" s="468">
        <f>ROUND((G52+H52+I52)*$I$9,2)</f>
        <v>0.5</v>
      </c>
      <c r="Q52" s="468">
        <f>ROUND((G52+H52+I52)*$J$9,2)</f>
        <v>0.8</v>
      </c>
      <c r="R52" s="477">
        <f t="shared" si="25"/>
        <v>46.724000000000004</v>
      </c>
      <c r="S52" s="352">
        <v>0</v>
      </c>
      <c r="T52" s="355">
        <f t="shared" si="17"/>
        <v>46.724000000000004</v>
      </c>
      <c r="U52" s="352" t="s">
        <v>435</v>
      </c>
      <c r="V52" s="352">
        <v>250</v>
      </c>
      <c r="W52" s="865">
        <v>3</v>
      </c>
      <c r="X52" s="359">
        <f t="shared" si="26"/>
        <v>750</v>
      </c>
      <c r="Y52" s="337">
        <f t="shared" si="27"/>
        <v>35043</v>
      </c>
      <c r="Z52" s="257"/>
      <c r="AA52" s="257"/>
      <c r="AB52" s="257"/>
      <c r="AC52" s="257"/>
      <c r="AD52" s="257"/>
      <c r="AE52" s="257"/>
    </row>
    <row r="53" spans="1:32" ht="30">
      <c r="A53" s="376" t="s">
        <v>430</v>
      </c>
      <c r="B53" s="376" t="str">
        <f>0&amp;6135</f>
        <v>06135</v>
      </c>
      <c r="C53" s="878" t="s">
        <v>450</v>
      </c>
      <c r="D53" s="352">
        <v>110</v>
      </c>
      <c r="E53" s="352">
        <v>30</v>
      </c>
      <c r="F53" s="336">
        <v>0</v>
      </c>
      <c r="G53" s="468">
        <f t="shared" si="18"/>
        <v>26.4</v>
      </c>
      <c r="H53" s="468">
        <f t="shared" si="19"/>
        <v>4.3380000000000001</v>
      </c>
      <c r="I53" s="473">
        <v>0</v>
      </c>
      <c r="J53" s="468">
        <f t="shared" si="20"/>
        <v>7.2510941999999998</v>
      </c>
      <c r="K53" s="465">
        <f t="shared" si="23"/>
        <v>0.6</v>
      </c>
      <c r="L53" s="352">
        <v>0</v>
      </c>
      <c r="M53" s="352">
        <v>0.6</v>
      </c>
      <c r="N53" s="336">
        <v>9.19</v>
      </c>
      <c r="O53" s="468">
        <f t="shared" si="24"/>
        <v>8.7818465999999997</v>
      </c>
      <c r="P53" s="468">
        <f t="shared" si="21"/>
        <v>0.6209076</v>
      </c>
      <c r="Q53" s="468">
        <f t="shared" si="22"/>
        <v>0.98976359999999997</v>
      </c>
      <c r="R53" s="477">
        <f t="shared" si="25"/>
        <v>58.171612000000003</v>
      </c>
      <c r="S53" s="352">
        <v>0</v>
      </c>
      <c r="T53" s="355">
        <f t="shared" si="17"/>
        <v>58.171612000000003</v>
      </c>
      <c r="U53" s="352" t="s">
        <v>435</v>
      </c>
      <c r="V53" s="352">
        <v>250</v>
      </c>
      <c r="W53" s="865">
        <v>3</v>
      </c>
      <c r="X53" s="359">
        <f t="shared" si="26"/>
        <v>750</v>
      </c>
      <c r="Y53" s="337">
        <f t="shared" si="27"/>
        <v>43628.709000000003</v>
      </c>
      <c r="Z53" s="257"/>
      <c r="AA53" s="257"/>
      <c r="AB53" s="257"/>
      <c r="AC53" s="257"/>
      <c r="AD53" s="257"/>
      <c r="AE53" s="257"/>
    </row>
    <row r="54" spans="1:32" ht="30">
      <c r="A54" s="376" t="s">
        <v>432</v>
      </c>
      <c r="B54" s="377" t="s">
        <v>451</v>
      </c>
      <c r="C54" s="882" t="s">
        <v>452</v>
      </c>
      <c r="D54" s="352">
        <v>30</v>
      </c>
      <c r="E54" s="352">
        <v>0</v>
      </c>
      <c r="F54" s="336">
        <v>0</v>
      </c>
      <c r="G54" s="468">
        <f t="shared" si="18"/>
        <v>7.1999999999999993</v>
      </c>
      <c r="H54" s="468">
        <f t="shared" si="19"/>
        <v>0</v>
      </c>
      <c r="I54" s="473">
        <v>0</v>
      </c>
      <c r="J54" s="468">
        <f t="shared" si="20"/>
        <v>1.6984799999999998</v>
      </c>
      <c r="K54" s="465">
        <f t="shared" si="23"/>
        <v>0</v>
      </c>
      <c r="L54" s="352">
        <v>0</v>
      </c>
      <c r="M54" s="352">
        <v>0</v>
      </c>
      <c r="N54" s="336">
        <v>0.11</v>
      </c>
      <c r="O54" s="468">
        <f t="shared" si="24"/>
        <v>2.0570399999999998</v>
      </c>
      <c r="P54" s="468">
        <f t="shared" si="21"/>
        <v>0.14543999999999999</v>
      </c>
      <c r="Q54" s="468">
        <f t="shared" si="22"/>
        <v>0.23183999999999996</v>
      </c>
      <c r="R54" s="477">
        <f t="shared" si="25"/>
        <v>11.4428</v>
      </c>
      <c r="S54" s="352">
        <v>0</v>
      </c>
      <c r="T54" s="355">
        <f t="shared" si="17"/>
        <v>11.4428</v>
      </c>
      <c r="U54" s="352" t="s">
        <v>435</v>
      </c>
      <c r="V54" s="352">
        <v>700</v>
      </c>
      <c r="W54" s="865">
        <v>3</v>
      </c>
      <c r="X54" s="359">
        <f t="shared" si="26"/>
        <v>2100</v>
      </c>
      <c r="Y54" s="337">
        <f t="shared" si="27"/>
        <v>24029.88</v>
      </c>
      <c r="Z54" s="257"/>
      <c r="AA54" s="257"/>
      <c r="AB54" s="257"/>
      <c r="AC54" s="257"/>
      <c r="AD54" s="257"/>
      <c r="AE54" s="257"/>
    </row>
    <row r="55" spans="1:32">
      <c r="A55" s="378" t="s">
        <v>430</v>
      </c>
      <c r="B55" s="379" t="str">
        <f>0&amp;7024</f>
        <v>07024</v>
      </c>
      <c r="C55" s="349" t="s">
        <v>440</v>
      </c>
      <c r="D55" s="325">
        <v>20</v>
      </c>
      <c r="E55" s="325">
        <v>15</v>
      </c>
      <c r="F55" s="359">
        <v>0</v>
      </c>
      <c r="G55" s="468">
        <f>ROUND(D55*$B$9,2)</f>
        <v>4.8</v>
      </c>
      <c r="H55" s="468">
        <f>ROUND(E55*$C$9,2)</f>
        <v>2.17</v>
      </c>
      <c r="I55" s="471">
        <v>0</v>
      </c>
      <c r="J55" s="468">
        <f>ROUND((G55+H55)*$E$9,2)</f>
        <v>1.64</v>
      </c>
      <c r="K55" s="367">
        <f t="shared" si="23"/>
        <v>0.03</v>
      </c>
      <c r="L55" s="325">
        <v>0</v>
      </c>
      <c r="M55" s="325">
        <v>0.03</v>
      </c>
      <c r="N55" s="359">
        <v>0</v>
      </c>
      <c r="O55" s="468">
        <f>ROUND((G55+H55+I55)*$H$9,2)</f>
        <v>1.99</v>
      </c>
      <c r="P55" s="468">
        <f>ROUND((G55+H55+I55)*$I$9,2)</f>
        <v>0.14000000000000001</v>
      </c>
      <c r="Q55" s="468">
        <f>ROUND((G55+H55+I55)*$J$9,2)</f>
        <v>0.22</v>
      </c>
      <c r="R55" s="479">
        <f>ROUND(G55+H55+J55+K55+N55+O55+P55+Q55,2)</f>
        <v>10.99</v>
      </c>
      <c r="S55" s="325">
        <v>0</v>
      </c>
      <c r="T55" s="362">
        <f t="shared" si="17"/>
        <v>10.99</v>
      </c>
      <c r="U55" s="325" t="s">
        <v>435</v>
      </c>
      <c r="V55" s="325">
        <v>125</v>
      </c>
      <c r="W55" s="864">
        <v>1</v>
      </c>
      <c r="X55" s="359">
        <f t="shared" si="26"/>
        <v>125</v>
      </c>
      <c r="Y55" s="363">
        <f t="shared" si="27"/>
        <v>1373.75</v>
      </c>
      <c r="Z55" s="257"/>
      <c r="AA55" s="257"/>
      <c r="AB55" s="257"/>
      <c r="AC55" s="257"/>
      <c r="AD55" s="257"/>
      <c r="AE55" s="257"/>
    </row>
    <row r="56" spans="1:32" ht="45">
      <c r="A56" s="349" t="s">
        <v>432</v>
      </c>
      <c r="B56" s="349" t="s">
        <v>453</v>
      </c>
      <c r="C56" s="883" t="s">
        <v>454</v>
      </c>
      <c r="D56" s="325">
        <v>0</v>
      </c>
      <c r="E56" s="325">
        <v>0</v>
      </c>
      <c r="F56" s="359">
        <v>0</v>
      </c>
      <c r="G56" s="495">
        <f t="shared" si="18"/>
        <v>0</v>
      </c>
      <c r="H56" s="495">
        <f t="shared" si="19"/>
        <v>0</v>
      </c>
      <c r="I56" s="471">
        <v>0</v>
      </c>
      <c r="J56" s="495">
        <f t="shared" si="20"/>
        <v>0</v>
      </c>
      <c r="K56" s="367">
        <f t="shared" si="23"/>
        <v>895</v>
      </c>
      <c r="L56" s="325">
        <v>0</v>
      </c>
      <c r="M56" s="325">
        <v>895</v>
      </c>
      <c r="N56" s="359">
        <v>0</v>
      </c>
      <c r="O56" s="495">
        <f t="shared" si="24"/>
        <v>0</v>
      </c>
      <c r="P56" s="495">
        <f t="shared" si="21"/>
        <v>0</v>
      </c>
      <c r="Q56" s="495">
        <f t="shared" si="22"/>
        <v>0</v>
      </c>
      <c r="R56" s="479">
        <f t="shared" si="25"/>
        <v>895</v>
      </c>
      <c r="S56" s="325">
        <v>0</v>
      </c>
      <c r="T56" s="354">
        <f t="shared" si="17"/>
        <v>895</v>
      </c>
      <c r="U56" s="349" t="s">
        <v>435</v>
      </c>
      <c r="V56" s="325">
        <v>50</v>
      </c>
      <c r="W56" s="864">
        <v>1</v>
      </c>
      <c r="X56" s="359">
        <f t="shared" si="26"/>
        <v>50</v>
      </c>
      <c r="Y56" s="496">
        <f t="shared" si="27"/>
        <v>44750</v>
      </c>
      <c r="Z56" s="257"/>
      <c r="AA56" s="257"/>
      <c r="AB56" s="257"/>
      <c r="AC56" s="257"/>
      <c r="AD56" s="257"/>
      <c r="AE56" s="257"/>
    </row>
    <row r="57" spans="1:32">
      <c r="A57" s="536"/>
      <c r="B57" s="252"/>
      <c r="C57" s="843" t="s">
        <v>455</v>
      </c>
      <c r="D57" s="440"/>
      <c r="E57" s="440"/>
      <c r="F57" s="440"/>
      <c r="G57" s="440"/>
      <c r="H57" s="530"/>
      <c r="I57" s="440"/>
      <c r="J57" s="440"/>
      <c r="K57" s="440"/>
      <c r="L57" s="440"/>
      <c r="M57" s="440"/>
      <c r="N57" s="440"/>
      <c r="O57" s="440"/>
      <c r="P57" s="440"/>
      <c r="Q57" s="440"/>
      <c r="R57" s="440"/>
      <c r="S57" s="440"/>
      <c r="T57" s="440">
        <v>26.68</v>
      </c>
      <c r="U57" s="440"/>
      <c r="V57" s="443">
        <v>2500</v>
      </c>
      <c r="W57" s="869">
        <v>3</v>
      </c>
      <c r="X57" s="352">
        <f>W57*V57</f>
        <v>7500</v>
      </c>
      <c r="Y57" s="862">
        <f t="shared" si="27"/>
        <v>200100</v>
      </c>
      <c r="Z57" s="257"/>
      <c r="AA57" s="257"/>
      <c r="AB57" s="257"/>
      <c r="AC57" s="257"/>
      <c r="AD57" s="257"/>
      <c r="AE57" s="257"/>
    </row>
    <row r="58" spans="1:32">
      <c r="A58" s="257" t="s">
        <v>442</v>
      </c>
      <c r="B58" s="257"/>
      <c r="C58" s="257"/>
      <c r="D58" s="257"/>
      <c r="E58" s="257"/>
      <c r="F58" s="257"/>
      <c r="G58" s="257"/>
      <c r="H58" s="257"/>
      <c r="I58" s="257"/>
      <c r="J58" s="257"/>
      <c r="K58" s="257"/>
      <c r="L58" s="257"/>
      <c r="M58" s="257"/>
      <c r="N58" s="257"/>
      <c r="O58" s="257"/>
      <c r="P58" s="257"/>
      <c r="Q58" s="257"/>
      <c r="R58" s="257"/>
      <c r="S58" s="257"/>
      <c r="T58" s="257"/>
      <c r="U58" s="257"/>
      <c r="X58" s="886" t="s">
        <v>443</v>
      </c>
      <c r="Y58" s="497">
        <f>SUM(Y37:Y57)</f>
        <v>930830.16249999998</v>
      </c>
      <c r="Z58" s="257"/>
      <c r="AA58" s="257"/>
      <c r="AB58" s="257"/>
      <c r="AC58" s="257"/>
      <c r="AD58" s="257"/>
      <c r="AE58" s="257"/>
    </row>
    <row r="59" spans="1:32">
      <c r="A59" s="257" t="s">
        <v>444</v>
      </c>
      <c r="B59" s="257"/>
      <c r="C59" s="257"/>
      <c r="D59" s="257"/>
      <c r="E59" s="257"/>
      <c r="F59" s="257"/>
      <c r="G59" s="257"/>
      <c r="H59" s="257"/>
      <c r="I59" s="257"/>
      <c r="J59" s="257"/>
      <c r="K59" s="257"/>
      <c r="L59" s="257"/>
      <c r="M59" s="257"/>
      <c r="N59" s="257"/>
      <c r="O59" s="257"/>
      <c r="P59" s="257"/>
      <c r="Q59" s="257"/>
      <c r="R59" s="257"/>
      <c r="S59" s="257"/>
      <c r="T59" s="257"/>
      <c r="U59" s="257"/>
      <c r="X59" s="886" t="s">
        <v>456</v>
      </c>
      <c r="Y59" s="497">
        <f>Y58/5</f>
        <v>186166.0325</v>
      </c>
      <c r="Z59" s="257"/>
      <c r="AA59" s="257"/>
      <c r="AB59" s="257"/>
      <c r="AC59" s="257"/>
      <c r="AD59" s="257"/>
      <c r="AE59" s="257"/>
    </row>
    <row r="60" spans="1:32">
      <c r="A60" s="257"/>
      <c r="B60" s="257"/>
      <c r="C60" s="257"/>
      <c r="D60" s="257"/>
      <c r="E60" s="257"/>
      <c r="F60" s="257"/>
      <c r="G60" s="257"/>
      <c r="H60" s="257"/>
      <c r="I60" s="257"/>
      <c r="J60" s="257"/>
      <c r="K60" s="257"/>
      <c r="L60" s="257"/>
      <c r="M60" s="257"/>
      <c r="N60" s="257"/>
      <c r="O60" s="257"/>
      <c r="P60" s="257"/>
      <c r="Q60" s="257"/>
      <c r="R60" s="257"/>
      <c r="S60" s="257"/>
      <c r="T60" s="257"/>
      <c r="U60" s="257"/>
      <c r="X60" s="886"/>
      <c r="Y60" s="845"/>
      <c r="Z60" s="257"/>
      <c r="AA60" s="257"/>
      <c r="AB60" s="257"/>
      <c r="AC60" s="257"/>
      <c r="AD60" s="257"/>
      <c r="AE60" s="257"/>
    </row>
    <row r="61" spans="1:32">
      <c r="A61" s="257"/>
      <c r="B61" s="257"/>
      <c r="C61" s="257"/>
      <c r="D61" s="257"/>
      <c r="E61" s="257"/>
      <c r="F61" s="257"/>
      <c r="G61" s="257"/>
      <c r="H61" s="257"/>
      <c r="I61" s="257"/>
      <c r="J61" s="257"/>
      <c r="K61" s="257"/>
      <c r="L61" s="257"/>
      <c r="M61" s="257"/>
      <c r="N61" s="257"/>
      <c r="O61" s="257"/>
      <c r="P61" s="257"/>
      <c r="Q61" s="257"/>
      <c r="R61" s="257"/>
      <c r="S61" s="257"/>
      <c r="T61" s="257"/>
      <c r="U61" s="257"/>
      <c r="Z61" s="257"/>
      <c r="AA61" s="257"/>
      <c r="AB61" s="257"/>
      <c r="AC61" s="257"/>
      <c r="AD61" s="257"/>
      <c r="AE61" s="257"/>
    </row>
    <row r="62" spans="1:32" ht="15.75">
      <c r="A62" s="1085" t="s">
        <v>822</v>
      </c>
      <c r="B62" s="257"/>
      <c r="C62" s="257"/>
      <c r="D62" s="257"/>
      <c r="E62" s="257"/>
      <c r="F62" s="257"/>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row>
    <row r="63" spans="1:32" ht="15" customHeight="1">
      <c r="A63" s="1598"/>
      <c r="B63" s="1564" t="s">
        <v>232</v>
      </c>
      <c r="C63" s="1564" t="s">
        <v>231</v>
      </c>
      <c r="D63" s="1552" t="s">
        <v>344</v>
      </c>
      <c r="E63" s="1552"/>
      <c r="F63" s="1552"/>
      <c r="G63" s="1552"/>
      <c r="H63" s="1552"/>
      <c r="I63" s="1552"/>
      <c r="J63" s="1552"/>
      <c r="K63" s="1552"/>
      <c r="L63" s="1552"/>
      <c r="M63" s="1553"/>
      <c r="N63" s="1552" t="s">
        <v>32</v>
      </c>
      <c r="O63" s="1552"/>
      <c r="P63" s="1552"/>
      <c r="Q63" s="1553"/>
      <c r="R63" s="1566" t="s">
        <v>345</v>
      </c>
      <c r="S63" s="1566" t="s">
        <v>414</v>
      </c>
      <c r="T63" s="1568" t="s">
        <v>233</v>
      </c>
      <c r="U63" s="1555" t="s">
        <v>424</v>
      </c>
      <c r="V63" s="1554" t="s">
        <v>264</v>
      </c>
      <c r="W63" s="1595" t="s">
        <v>457</v>
      </c>
      <c r="X63" s="1595" t="s">
        <v>427</v>
      </c>
      <c r="Y63" s="1555" t="s">
        <v>428</v>
      </c>
      <c r="AA63" s="257"/>
      <c r="AB63" s="257"/>
      <c r="AC63" s="257"/>
      <c r="AD63" s="257"/>
      <c r="AE63" s="257"/>
      <c r="AF63" s="257"/>
    </row>
    <row r="64" spans="1:32" ht="60">
      <c r="A64" s="1599"/>
      <c r="B64" s="1565"/>
      <c r="C64" s="1565"/>
      <c r="D64" s="1552" t="s">
        <v>347</v>
      </c>
      <c r="E64" s="1552"/>
      <c r="F64" s="1553"/>
      <c r="G64" s="1552" t="s">
        <v>348</v>
      </c>
      <c r="H64" s="1552"/>
      <c r="I64" s="1553"/>
      <c r="J64" s="328" t="s">
        <v>349</v>
      </c>
      <c r="K64" s="1552" t="s">
        <v>350</v>
      </c>
      <c r="L64" s="1552"/>
      <c r="M64" s="1553"/>
      <c r="N64" s="1550" t="s">
        <v>351</v>
      </c>
      <c r="O64" s="1550" t="s">
        <v>352</v>
      </c>
      <c r="P64" s="1550" t="s">
        <v>353</v>
      </c>
      <c r="Q64" s="1550" t="s">
        <v>354</v>
      </c>
      <c r="R64" s="1550"/>
      <c r="S64" s="1550"/>
      <c r="T64" s="1569"/>
      <c r="U64" s="1555"/>
      <c r="V64" s="1554"/>
      <c r="W64" s="1596"/>
      <c r="X64" s="1596"/>
      <c r="Y64" s="1555"/>
      <c r="AA64" s="257"/>
      <c r="AB64" s="257"/>
      <c r="AC64" s="257"/>
      <c r="AD64" s="257"/>
      <c r="AE64" s="257"/>
      <c r="AF64" s="257"/>
    </row>
    <row r="65" spans="1:32" ht="45">
      <c r="A65" s="1600"/>
      <c r="B65" s="1565"/>
      <c r="C65" s="1565"/>
      <c r="D65" s="467" t="s">
        <v>355</v>
      </c>
      <c r="E65" s="467" t="s">
        <v>356</v>
      </c>
      <c r="F65" s="467" t="s">
        <v>357</v>
      </c>
      <c r="G65" s="467" t="s">
        <v>355</v>
      </c>
      <c r="H65" s="467" t="s">
        <v>356</v>
      </c>
      <c r="I65" s="467" t="s">
        <v>358</v>
      </c>
      <c r="J65" s="467" t="s">
        <v>359</v>
      </c>
      <c r="K65" s="467" t="s">
        <v>360</v>
      </c>
      <c r="L65" s="467" t="s">
        <v>361</v>
      </c>
      <c r="M65" s="467" t="s">
        <v>362</v>
      </c>
      <c r="N65" s="1550"/>
      <c r="O65" s="1550"/>
      <c r="P65" s="1550"/>
      <c r="Q65" s="1550"/>
      <c r="R65" s="1550"/>
      <c r="S65" s="1550"/>
      <c r="T65" s="1569"/>
      <c r="U65" s="1583"/>
      <c r="V65" s="1595"/>
      <c r="W65" s="1597"/>
      <c r="X65" s="1597"/>
      <c r="Y65" s="1583"/>
      <c r="AA65" s="257"/>
      <c r="AB65" s="434"/>
      <c r="AC65" s="257"/>
      <c r="AD65" s="257"/>
      <c r="AE65" s="257"/>
      <c r="AF65" s="257"/>
    </row>
    <row r="66" spans="1:32" ht="30">
      <c r="A66" s="532" t="s">
        <v>430</v>
      </c>
      <c r="B66" s="533" t="str">
        <f>0&amp;6102</f>
        <v>06102</v>
      </c>
      <c r="C66" s="441" t="s">
        <v>458</v>
      </c>
      <c r="D66" s="443">
        <v>40</v>
      </c>
      <c r="E66" s="443">
        <v>0</v>
      </c>
      <c r="F66" s="443">
        <v>0</v>
      </c>
      <c r="G66" s="444">
        <f>D66*B9</f>
        <v>9.6</v>
      </c>
      <c r="H66" s="444">
        <v>0</v>
      </c>
      <c r="I66" s="443">
        <v>0</v>
      </c>
      <c r="J66" s="444">
        <f>ROUNDDOWN((G66+H66)*E9,2)</f>
        <v>2.2599999999999998</v>
      </c>
      <c r="K66" s="444">
        <f t="shared" ref="K66" si="28">L66+M66</f>
        <v>0.97</v>
      </c>
      <c r="L66" s="443">
        <v>0</v>
      </c>
      <c r="M66" s="443">
        <v>0.97</v>
      </c>
      <c r="N66" s="443">
        <v>11.81</v>
      </c>
      <c r="O66" s="444">
        <f>ROUNDDOWN((G66+H66)*H9+4,2)</f>
        <v>6.74</v>
      </c>
      <c r="P66" s="444">
        <f>(G66+H66)*I9</f>
        <v>0.19391999999999998</v>
      </c>
      <c r="Q66" s="444">
        <f>(G66+H66)*J9</f>
        <v>0.30912000000000001</v>
      </c>
      <c r="R66" s="442">
        <f t="shared" ref="R66" si="29">G66+H66+J66+K66+N66+O66+P66+Q66</f>
        <v>31.883040000000001</v>
      </c>
      <c r="S66" s="443">
        <v>4</v>
      </c>
      <c r="T66" s="442">
        <f t="shared" ref="T66" si="30">R66-S66</f>
        <v>27.883040000000001</v>
      </c>
      <c r="U66" s="443" t="s">
        <v>435</v>
      </c>
      <c r="V66" s="443">
        <v>5000</v>
      </c>
      <c r="W66" s="443">
        <v>1</v>
      </c>
      <c r="X66" s="443">
        <f>V66*W66</f>
        <v>5000</v>
      </c>
      <c r="Y66" s="534">
        <f>X66*T66</f>
        <v>139415.20000000001</v>
      </c>
      <c r="AA66" s="372"/>
      <c r="AB66" s="372"/>
      <c r="AC66" s="257"/>
      <c r="AD66" s="257"/>
      <c r="AE66" s="257"/>
      <c r="AF66" s="257"/>
    </row>
    <row r="67" spans="1:32">
      <c r="A67" s="532"/>
      <c r="B67" s="532"/>
      <c r="C67" s="441" t="s">
        <v>459</v>
      </c>
      <c r="D67" s="844"/>
      <c r="E67" s="844"/>
      <c r="F67" s="844"/>
      <c r="G67" s="444"/>
      <c r="H67" s="444"/>
      <c r="I67" s="844"/>
      <c r="J67" s="444"/>
      <c r="K67" s="844"/>
      <c r="L67" s="844"/>
      <c r="M67" s="844"/>
      <c r="N67" s="844"/>
      <c r="O67" s="444"/>
      <c r="P67" s="444"/>
      <c r="Q67" s="444"/>
      <c r="R67" s="442"/>
      <c r="S67" s="844"/>
      <c r="T67" s="442">
        <v>27.52</v>
      </c>
      <c r="U67" s="443"/>
      <c r="V67" s="844">
        <v>5000</v>
      </c>
      <c r="W67" s="844">
        <v>1</v>
      </c>
      <c r="X67" s="443">
        <f>V67*W67</f>
        <v>5000</v>
      </c>
      <c r="Y67" s="534">
        <f>T67*X67</f>
        <v>137600</v>
      </c>
      <c r="AA67" s="257"/>
      <c r="AB67" s="257"/>
      <c r="AC67" s="257"/>
      <c r="AD67" s="257"/>
      <c r="AE67" s="257"/>
      <c r="AF67" s="257"/>
    </row>
    <row r="68" spans="1:32">
      <c r="V68" s="652"/>
      <c r="X68" s="887" t="s">
        <v>443</v>
      </c>
      <c r="Y68" s="888">
        <f>SUM(Y66:Y67)</f>
        <v>277015.2</v>
      </c>
    </row>
    <row r="69" spans="1:32">
      <c r="A69" s="257"/>
      <c r="B69" s="257"/>
      <c r="C69" s="257"/>
      <c r="D69" s="257"/>
      <c r="E69" s="257"/>
      <c r="F69" s="257"/>
      <c r="G69" s="257"/>
      <c r="H69" s="257"/>
      <c r="I69" s="257"/>
      <c r="J69" s="257"/>
      <c r="K69" s="257"/>
      <c r="L69" s="257"/>
      <c r="M69" s="257"/>
      <c r="N69" s="257"/>
      <c r="O69" s="257"/>
      <c r="X69" s="887" t="s">
        <v>445</v>
      </c>
      <c r="Y69" s="888">
        <f>Y68/5</f>
        <v>55403.040000000001</v>
      </c>
    </row>
  </sheetData>
  <mergeCells count="117">
    <mergeCell ref="B63:B65"/>
    <mergeCell ref="W42:W43"/>
    <mergeCell ref="X42:X43"/>
    <mergeCell ref="U45:U46"/>
    <mergeCell ref="X63:X65"/>
    <mergeCell ref="V42:V43"/>
    <mergeCell ref="W63:W65"/>
    <mergeCell ref="V45:V46"/>
    <mergeCell ref="A63:A65"/>
    <mergeCell ref="W45:W46"/>
    <mergeCell ref="X45:X46"/>
    <mergeCell ref="C63:C65"/>
    <mergeCell ref="D63:M63"/>
    <mergeCell ref="N63:Q63"/>
    <mergeCell ref="R63:R65"/>
    <mergeCell ref="S63:S65"/>
    <mergeCell ref="T63:T65"/>
    <mergeCell ref="U63:U65"/>
    <mergeCell ref="V63:V65"/>
    <mergeCell ref="D64:F64"/>
    <mergeCell ref="G64:I64"/>
    <mergeCell ref="K64:M64"/>
    <mergeCell ref="N64:N65"/>
    <mergeCell ref="O64:O65"/>
    <mergeCell ref="Y63:Y65"/>
    <mergeCell ref="V24:V25"/>
    <mergeCell ref="V34:V36"/>
    <mergeCell ref="U39:U40"/>
    <mergeCell ref="AA39:AA40"/>
    <mergeCell ref="U42:U43"/>
    <mergeCell ref="AA42:AA43"/>
    <mergeCell ref="B34:B36"/>
    <mergeCell ref="C34:C36"/>
    <mergeCell ref="D34:M34"/>
    <mergeCell ref="N34:Q34"/>
    <mergeCell ref="G35:I35"/>
    <mergeCell ref="K35:M35"/>
    <mergeCell ref="N35:N36"/>
    <mergeCell ref="Z39:Z40"/>
    <mergeCell ref="Y37:Y38"/>
    <mergeCell ref="Z37:Z38"/>
    <mergeCell ref="Q35:Q36"/>
    <mergeCell ref="U37:U38"/>
    <mergeCell ref="W37:W38"/>
    <mergeCell ref="X37:X38"/>
    <mergeCell ref="Y42:Y43"/>
    <mergeCell ref="Z42:Z43"/>
    <mergeCell ref="V37:V38"/>
    <mergeCell ref="R34:R36"/>
    <mergeCell ref="S34:S36"/>
    <mergeCell ref="T34:T36"/>
    <mergeCell ref="U34:U36"/>
    <mergeCell ref="Y45:Y46"/>
    <mergeCell ref="Z45:Z46"/>
    <mergeCell ref="AA45:AA46"/>
    <mergeCell ref="O35:O36"/>
    <mergeCell ref="P35:P36"/>
    <mergeCell ref="AA37:AA38"/>
    <mergeCell ref="V39:V40"/>
    <mergeCell ref="W39:W40"/>
    <mergeCell ref="X39:X40"/>
    <mergeCell ref="Y39:Y40"/>
    <mergeCell ref="Z24:Z25"/>
    <mergeCell ref="AA24:AA25"/>
    <mergeCell ref="U24:U25"/>
    <mergeCell ref="W24:W25"/>
    <mergeCell ref="X24:X25"/>
    <mergeCell ref="Y24:Y25"/>
    <mergeCell ref="W34:W36"/>
    <mergeCell ref="X34:X36"/>
    <mergeCell ref="Y34:Y36"/>
    <mergeCell ref="V18:V19"/>
    <mergeCell ref="V21:V22"/>
    <mergeCell ref="Y16:Y17"/>
    <mergeCell ref="H7:H8"/>
    <mergeCell ref="I7:I8"/>
    <mergeCell ref="J7:J8"/>
    <mergeCell ref="B13:B15"/>
    <mergeCell ref="C13:C15"/>
    <mergeCell ref="D13:M13"/>
    <mergeCell ref="D14:F14"/>
    <mergeCell ref="G14:I14"/>
    <mergeCell ref="K14:M14"/>
    <mergeCell ref="N13:Q13"/>
    <mergeCell ref="R13:R15"/>
    <mergeCell ref="S13:S15"/>
    <mergeCell ref="T13:T15"/>
    <mergeCell ref="U13:U15"/>
    <mergeCell ref="N14:N15"/>
    <mergeCell ref="O14:O15"/>
    <mergeCell ref="P14:P15"/>
    <mergeCell ref="Q14:Q15"/>
    <mergeCell ref="V16:V17"/>
    <mergeCell ref="P64:P65"/>
    <mergeCell ref="Q64:Q65"/>
    <mergeCell ref="Z16:Z17"/>
    <mergeCell ref="AA16:AA17"/>
    <mergeCell ref="D35:F35"/>
    <mergeCell ref="W13:W15"/>
    <mergeCell ref="X13:X15"/>
    <mergeCell ref="Y13:Y15"/>
    <mergeCell ref="Z18:Z19"/>
    <mergeCell ref="AA18:AA19"/>
    <mergeCell ref="U21:U22"/>
    <mergeCell ref="W21:W22"/>
    <mergeCell ref="X21:X22"/>
    <mergeCell ref="Y21:Y22"/>
    <mergeCell ref="Z21:Z22"/>
    <mergeCell ref="AA21:AA22"/>
    <mergeCell ref="U18:U19"/>
    <mergeCell ref="W18:W19"/>
    <mergeCell ref="X18:X19"/>
    <mergeCell ref="Y18:Y19"/>
    <mergeCell ref="U16:U17"/>
    <mergeCell ref="W16:W17"/>
    <mergeCell ref="X16:X17"/>
    <mergeCell ref="V13:V15"/>
  </mergeCells>
  <pageMargins left="0.7" right="0.7" top="0.75" bottom="0.75" header="0.3" footer="0.3"/>
  <pageSetup paperSize="9" scale="23" orientation="portrait" verticalDpi="0" r:id="rId1"/>
  <colBreaks count="1" manualBreakCount="1">
    <brk id="25"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69B52-24D7-4D52-A8B6-565D7790C37A}">
  <sheetPr>
    <tabColor theme="7" tint="0.79998168889431442"/>
  </sheetPr>
  <dimension ref="A1:M15"/>
  <sheetViews>
    <sheetView view="pageBreakPreview" zoomScale="60" zoomScaleNormal="100" workbookViewId="0">
      <selection activeCell="A15" sqref="A15:K15"/>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J1" s="986" t="s">
        <v>824</v>
      </c>
    </row>
    <row r="2" spans="1:13" ht="33.75" customHeight="1">
      <c r="A2" s="1459" t="s">
        <v>782</v>
      </c>
      <c r="B2" s="1459"/>
      <c r="C2" s="1459"/>
      <c r="D2" s="987"/>
    </row>
    <row r="3" spans="1:13">
      <c r="A3" s="1462" t="s">
        <v>1</v>
      </c>
      <c r="B3" s="1518" t="s">
        <v>794</v>
      </c>
      <c r="C3" s="1518"/>
      <c r="D3" s="987"/>
    </row>
    <row r="4" spans="1:13">
      <c r="A4" s="1463"/>
      <c r="B4" s="988" t="s">
        <v>765</v>
      </c>
      <c r="C4" s="989" t="s">
        <v>766</v>
      </c>
      <c r="D4" s="990"/>
    </row>
    <row r="5" spans="1:13" ht="25.5">
      <c r="A5" s="991" t="s">
        <v>782</v>
      </c>
      <c r="B5" s="992">
        <f>30000*1.21</f>
        <v>36300</v>
      </c>
      <c r="C5" s="503">
        <v>0</v>
      </c>
      <c r="D5" s="990"/>
    </row>
    <row r="6" spans="1:13" ht="59.25" customHeight="1">
      <c r="A6" s="1460" t="s">
        <v>767</v>
      </c>
      <c r="B6" s="1460"/>
      <c r="C6" s="1460"/>
      <c r="D6" s="990"/>
    </row>
    <row r="7" spans="1:13">
      <c r="A7" s="1466"/>
      <c r="B7" s="1466"/>
      <c r="C7" s="1466"/>
    </row>
    <row r="9" spans="1:13">
      <c r="A9" s="1459" t="s">
        <v>782</v>
      </c>
      <c r="B9" s="1459"/>
      <c r="C9" s="1459"/>
      <c r="D9" s="1459"/>
      <c r="E9" s="1459"/>
      <c r="F9" s="1459"/>
      <c r="G9" s="1459"/>
      <c r="H9" s="1459"/>
      <c r="I9" s="1459"/>
      <c r="J9" s="1459"/>
      <c r="K9" s="1459"/>
    </row>
    <row r="10" spans="1:13" ht="63.75">
      <c r="A10" s="993"/>
      <c r="B10" s="994" t="s">
        <v>1</v>
      </c>
      <c r="C10" s="994" t="s">
        <v>2</v>
      </c>
      <c r="D10" s="988" t="s">
        <v>3</v>
      </c>
      <c r="E10" s="988" t="s">
        <v>768</v>
      </c>
      <c r="F10" s="988" t="s">
        <v>769</v>
      </c>
      <c r="G10" s="988" t="s">
        <v>770</v>
      </c>
      <c r="H10" s="988" t="s">
        <v>771</v>
      </c>
      <c r="I10" s="988" t="s">
        <v>772</v>
      </c>
      <c r="J10" s="988" t="s">
        <v>773</v>
      </c>
      <c r="K10" s="988" t="s">
        <v>774</v>
      </c>
    </row>
    <row r="11" spans="1:13">
      <c r="A11" s="1498" t="s">
        <v>776</v>
      </c>
      <c r="B11" s="1498" t="s">
        <v>782</v>
      </c>
      <c r="C11" s="1499"/>
      <c r="D11" s="1499"/>
      <c r="E11" s="994" t="s">
        <v>777</v>
      </c>
      <c r="F11" s="992">
        <v>1</v>
      </c>
      <c r="G11" s="992">
        <v>13950</v>
      </c>
      <c r="H11" s="992">
        <f>F11*G11</f>
        <v>13950</v>
      </c>
      <c r="I11" s="992">
        <v>21</v>
      </c>
      <c r="J11" s="992">
        <f>G11*1.21</f>
        <v>16879.5</v>
      </c>
      <c r="K11" s="992">
        <f>F11*J11</f>
        <v>16879.5</v>
      </c>
      <c r="M11" s="997"/>
    </row>
    <row r="12" spans="1:13">
      <c r="A12" s="1498"/>
      <c r="B12" s="1498"/>
      <c r="C12" s="1499"/>
      <c r="D12" s="1499"/>
      <c r="E12" s="994" t="s">
        <v>778</v>
      </c>
      <c r="F12" s="992">
        <v>1</v>
      </c>
      <c r="G12" s="992">
        <v>13950</v>
      </c>
      <c r="H12" s="992">
        <f t="shared" ref="H12:H13" si="0">F12*G12</f>
        <v>13950</v>
      </c>
      <c r="I12" s="992">
        <v>21</v>
      </c>
      <c r="J12" s="992">
        <f t="shared" ref="J12:J13" si="1">G12*1.21</f>
        <v>16879.5</v>
      </c>
      <c r="K12" s="992">
        <f t="shared" ref="K12:K13" si="2">F12*J12</f>
        <v>16879.5</v>
      </c>
      <c r="M12" s="997"/>
    </row>
    <row r="13" spans="1:13" ht="14.25" customHeight="1">
      <c r="A13" s="1498"/>
      <c r="B13" s="1498"/>
      <c r="C13" s="1499"/>
      <c r="D13" s="1499"/>
      <c r="E13" s="994" t="s">
        <v>779</v>
      </c>
      <c r="F13" s="992">
        <v>3</v>
      </c>
      <c r="G13" s="992">
        <v>700</v>
      </c>
      <c r="H13" s="992">
        <f t="shared" si="0"/>
        <v>2100</v>
      </c>
      <c r="I13" s="992">
        <v>21</v>
      </c>
      <c r="J13" s="992">
        <f t="shared" si="1"/>
        <v>847</v>
      </c>
      <c r="K13" s="992">
        <f t="shared" si="2"/>
        <v>2541</v>
      </c>
      <c r="M13" s="997"/>
    </row>
    <row r="14" spans="1:13">
      <c r="A14" s="502"/>
      <c r="B14" s="502"/>
      <c r="C14" s="502"/>
      <c r="D14" s="502"/>
      <c r="E14" s="502"/>
      <c r="F14" s="502"/>
      <c r="G14" s="502"/>
      <c r="H14" s="998">
        <f>SUM(H11:H13)</f>
        <v>30000</v>
      </c>
      <c r="I14" s="502"/>
      <c r="J14" s="998"/>
      <c r="K14" s="992">
        <f>SUM(K11:K13)</f>
        <v>36300</v>
      </c>
    </row>
    <row r="15" spans="1:13" ht="36.75" customHeight="1">
      <c r="A15" s="1460" t="s">
        <v>767</v>
      </c>
      <c r="B15" s="1460"/>
      <c r="C15" s="1460"/>
      <c r="D15" s="1460"/>
      <c r="E15" s="1460"/>
      <c r="F15" s="1460"/>
      <c r="G15" s="1460"/>
      <c r="H15" s="1460"/>
      <c r="I15" s="1460"/>
      <c r="J15" s="1460"/>
      <c r="K15" s="1460"/>
    </row>
  </sheetData>
  <mergeCells count="11">
    <mergeCell ref="A15:K15"/>
    <mergeCell ref="A2:C2"/>
    <mergeCell ref="A3:A4"/>
    <mergeCell ref="B3:C3"/>
    <mergeCell ref="A6:C6"/>
    <mergeCell ref="A7:C7"/>
    <mergeCell ref="A9:K9"/>
    <mergeCell ref="A11:A13"/>
    <mergeCell ref="B11:B13"/>
    <mergeCell ref="C11:C13"/>
    <mergeCell ref="D11:D13"/>
  </mergeCells>
  <pageMargins left="0.7" right="0.7" top="0.75" bottom="0.75" header="0.3" footer="0.3"/>
  <pageSetup paperSize="9" scale="44"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52836-5D07-4503-8856-B59247B008F4}">
  <sheetPr>
    <tabColor theme="7" tint="0.79998168889431442"/>
  </sheetPr>
  <dimension ref="A1:M16"/>
  <sheetViews>
    <sheetView view="pageBreakPreview" zoomScale="60" zoomScaleNormal="100" workbookViewId="0">
      <selection activeCell="A7" sqref="A7:C7"/>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C1" s="986"/>
      <c r="J1" s="986" t="s">
        <v>885</v>
      </c>
    </row>
    <row r="2" spans="1:13" ht="33.75" customHeight="1">
      <c r="A2" s="1459" t="s">
        <v>783</v>
      </c>
      <c r="B2" s="1459"/>
      <c r="C2" s="1459"/>
      <c r="D2" s="987"/>
    </row>
    <row r="3" spans="1:13">
      <c r="A3" s="1462" t="s">
        <v>1</v>
      </c>
      <c r="B3" s="1518" t="s">
        <v>794</v>
      </c>
      <c r="C3" s="1518"/>
      <c r="D3" s="987"/>
    </row>
    <row r="4" spans="1:13">
      <c r="A4" s="1463"/>
      <c r="B4" s="988" t="s">
        <v>765</v>
      </c>
      <c r="C4" s="989" t="s">
        <v>766</v>
      </c>
      <c r="D4" s="990"/>
    </row>
    <row r="5" spans="1:13" ht="25.5">
      <c r="A5" s="991" t="s">
        <v>783</v>
      </c>
      <c r="B5" s="992">
        <f>30000*1.21</f>
        <v>36300</v>
      </c>
      <c r="C5" s="503">
        <v>0</v>
      </c>
      <c r="D5" s="990"/>
    </row>
    <row r="6" spans="1:13" ht="59.25" customHeight="1">
      <c r="A6" s="1460" t="s">
        <v>767</v>
      </c>
      <c r="B6" s="1460"/>
      <c r="C6" s="1460"/>
      <c r="D6" s="990"/>
    </row>
    <row r="7" spans="1:13">
      <c r="A7" s="1466"/>
      <c r="B7" s="1466"/>
      <c r="C7" s="1466"/>
    </row>
    <row r="9" spans="1:13">
      <c r="J9" s="1467"/>
      <c r="K9" s="1467"/>
    </row>
    <row r="10" spans="1:13">
      <c r="A10" s="1459" t="s">
        <v>783</v>
      </c>
      <c r="B10" s="1459"/>
      <c r="C10" s="1459"/>
      <c r="D10" s="1459"/>
      <c r="E10" s="1459"/>
      <c r="F10" s="1459"/>
      <c r="G10" s="1459"/>
      <c r="H10" s="1459"/>
      <c r="I10" s="1459"/>
      <c r="J10" s="1459"/>
      <c r="K10" s="1459"/>
    </row>
    <row r="11" spans="1:13" ht="63.75">
      <c r="A11" s="993"/>
      <c r="B11" s="994" t="s">
        <v>1</v>
      </c>
      <c r="C11" s="994" t="s">
        <v>2</v>
      </c>
      <c r="D11" s="988" t="s">
        <v>3</v>
      </c>
      <c r="E11" s="988" t="s">
        <v>768</v>
      </c>
      <c r="F11" s="988" t="s">
        <v>769</v>
      </c>
      <c r="G11" s="988" t="s">
        <v>770</v>
      </c>
      <c r="H11" s="988" t="s">
        <v>771</v>
      </c>
      <c r="I11" s="988" t="s">
        <v>772</v>
      </c>
      <c r="J11" s="988" t="s">
        <v>773</v>
      </c>
      <c r="K11" s="988" t="s">
        <v>774</v>
      </c>
    </row>
    <row r="12" spans="1:13">
      <c r="A12" s="1498" t="s">
        <v>776</v>
      </c>
      <c r="B12" s="1498" t="s">
        <v>783</v>
      </c>
      <c r="C12" s="1499"/>
      <c r="D12" s="1499"/>
      <c r="E12" s="994" t="s">
        <v>777</v>
      </c>
      <c r="F12" s="992">
        <v>1</v>
      </c>
      <c r="G12" s="992">
        <v>13950</v>
      </c>
      <c r="H12" s="992">
        <f>F12*G12</f>
        <v>13950</v>
      </c>
      <c r="I12" s="992">
        <v>21</v>
      </c>
      <c r="J12" s="992">
        <f>G12*1.21</f>
        <v>16879.5</v>
      </c>
      <c r="K12" s="992">
        <f>F12*J12</f>
        <v>16879.5</v>
      </c>
      <c r="M12" s="997"/>
    </row>
    <row r="13" spans="1:13">
      <c r="A13" s="1498"/>
      <c r="B13" s="1498"/>
      <c r="C13" s="1499"/>
      <c r="D13" s="1499"/>
      <c r="E13" s="994" t="s">
        <v>778</v>
      </c>
      <c r="F13" s="992">
        <v>1</v>
      </c>
      <c r="G13" s="992">
        <v>13950</v>
      </c>
      <c r="H13" s="992">
        <f t="shared" ref="H13:H14" si="0">F13*G13</f>
        <v>13950</v>
      </c>
      <c r="I13" s="992">
        <v>21</v>
      </c>
      <c r="J13" s="992">
        <f t="shared" ref="J13:J14" si="1">G13*1.21</f>
        <v>16879.5</v>
      </c>
      <c r="K13" s="992">
        <f t="shared" ref="K13:K14" si="2">F13*J13</f>
        <v>16879.5</v>
      </c>
      <c r="M13" s="997"/>
    </row>
    <row r="14" spans="1:13" ht="16.5" customHeight="1">
      <c r="A14" s="1498"/>
      <c r="B14" s="1498"/>
      <c r="C14" s="1499"/>
      <c r="D14" s="1499"/>
      <c r="E14" s="994" t="s">
        <v>779</v>
      </c>
      <c r="F14" s="992">
        <v>3</v>
      </c>
      <c r="G14" s="992">
        <v>700</v>
      </c>
      <c r="H14" s="992">
        <f t="shared" si="0"/>
        <v>2100</v>
      </c>
      <c r="I14" s="992">
        <v>21</v>
      </c>
      <c r="J14" s="992">
        <f t="shared" si="1"/>
        <v>847</v>
      </c>
      <c r="K14" s="992">
        <f t="shared" si="2"/>
        <v>2541</v>
      </c>
      <c r="M14" s="997"/>
    </row>
    <row r="15" spans="1:13">
      <c r="A15" s="502"/>
      <c r="B15" s="502"/>
      <c r="C15" s="502"/>
      <c r="D15" s="502"/>
      <c r="E15" s="502"/>
      <c r="F15" s="502"/>
      <c r="G15" s="502"/>
      <c r="H15" s="998">
        <f>SUM(H12:H14)</f>
        <v>30000</v>
      </c>
      <c r="I15" s="502"/>
      <c r="J15" s="998"/>
      <c r="K15" s="992">
        <f>SUM(K12:K14)</f>
        <v>36300</v>
      </c>
    </row>
    <row r="16" spans="1:13" ht="36.75" customHeight="1">
      <c r="A16" s="1460" t="s">
        <v>767</v>
      </c>
      <c r="B16" s="1460"/>
      <c r="C16" s="1460"/>
      <c r="D16" s="1460"/>
      <c r="E16" s="1460"/>
      <c r="F16" s="1460"/>
      <c r="G16" s="1460"/>
      <c r="H16" s="1460"/>
      <c r="I16" s="1460"/>
      <c r="J16" s="1460"/>
      <c r="K16" s="1460"/>
    </row>
  </sheetData>
  <mergeCells count="12">
    <mergeCell ref="A16:K16"/>
    <mergeCell ref="A2:C2"/>
    <mergeCell ref="A3:A4"/>
    <mergeCell ref="B3:C3"/>
    <mergeCell ref="A6:C6"/>
    <mergeCell ref="A7:C7"/>
    <mergeCell ref="J9:K9"/>
    <mergeCell ref="A10:K10"/>
    <mergeCell ref="A12:A14"/>
    <mergeCell ref="B12:B14"/>
    <mergeCell ref="C12:C14"/>
    <mergeCell ref="D12:D14"/>
  </mergeCells>
  <pageMargins left="0.7" right="0.7" top="0.75" bottom="0.75" header="0.3" footer="0.3"/>
  <pageSetup paperSize="9" scale="44"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5350E-CED0-4D7F-B2C9-07AA1D1ADFE1}">
  <sheetPr>
    <tabColor theme="7" tint="0.79998168889431442"/>
  </sheetPr>
  <dimension ref="A1:AE66"/>
  <sheetViews>
    <sheetView view="pageBreakPreview" zoomScale="60" zoomScaleNormal="100" workbookViewId="0">
      <selection activeCell="G5" sqref="G5:G6"/>
    </sheetView>
  </sheetViews>
  <sheetFormatPr defaultColWidth="8.85546875" defaultRowHeight="12.75"/>
  <cols>
    <col min="1" max="1" width="46.5703125" style="537" customWidth="1"/>
    <col min="2" max="3" width="12.140625" style="537" customWidth="1"/>
    <col min="4" max="4" width="16.140625" style="537" customWidth="1"/>
    <col min="5" max="5" width="17.5703125" style="537" customWidth="1"/>
    <col min="6" max="6" width="12.140625" style="537" customWidth="1"/>
    <col min="7" max="7" width="19.85546875" style="537" customWidth="1"/>
    <col min="8" max="8" width="18.7109375" style="537" customWidth="1"/>
    <col min="9" max="9" width="17.5703125" style="537" customWidth="1"/>
    <col min="10" max="10" width="22.42578125" style="537" customWidth="1"/>
    <col min="11" max="11" width="17.140625" style="537" customWidth="1"/>
    <col min="12" max="12" width="18.28515625" style="537" customWidth="1"/>
    <col min="13" max="13" width="13" style="537" customWidth="1"/>
    <col min="14" max="14" width="12.5703125" style="537" customWidth="1"/>
    <col min="15" max="15" width="8" style="537" customWidth="1"/>
    <col min="16" max="16" width="11.5703125" style="537" customWidth="1"/>
    <col min="17" max="17" width="12.140625" style="537" customWidth="1"/>
    <col min="18" max="18" width="13.42578125" style="537" customWidth="1"/>
    <col min="19" max="19" width="14.5703125" style="537" customWidth="1"/>
    <col min="20" max="20" width="9.85546875" style="537" customWidth="1"/>
    <col min="21" max="21" width="13.5703125" style="537" customWidth="1"/>
    <col min="22" max="31" width="8.85546875" style="537" bestFit="1"/>
    <col min="32" max="32" width="13.42578125" style="537" customWidth="1"/>
    <col min="33" max="33" width="11.5703125" style="537" customWidth="1"/>
    <col min="34" max="37" width="9.140625" style="537" bestFit="1" customWidth="1"/>
    <col min="38" max="16384" width="8.85546875" style="537"/>
  </cols>
  <sheetData>
    <row r="1" spans="1:31">
      <c r="AC1" s="537" t="s">
        <v>891</v>
      </c>
    </row>
    <row r="3" spans="1:31" ht="15.75">
      <c r="B3" s="541"/>
      <c r="C3" s="541"/>
      <c r="D3" s="1151" t="s">
        <v>498</v>
      </c>
      <c r="E3" s="541"/>
      <c r="F3" s="538"/>
      <c r="G3" s="539"/>
      <c r="H3" s="539"/>
      <c r="I3" s="539"/>
      <c r="J3" s="539"/>
      <c r="K3" s="539"/>
      <c r="S3" s="1608"/>
      <c r="T3" s="1608"/>
      <c r="U3" s="1608"/>
      <c r="V3" s="1608"/>
      <c r="W3" s="1608"/>
      <c r="X3" s="1608"/>
    </row>
    <row r="4" spans="1:31" s="750" customFormat="1">
      <c r="A4" s="752"/>
      <c r="B4" s="752"/>
      <c r="C4" s="752"/>
      <c r="D4" s="752"/>
      <c r="E4" s="752"/>
      <c r="F4" s="748"/>
      <c r="G4" s="749"/>
      <c r="H4" s="749"/>
      <c r="I4" s="749"/>
      <c r="J4" s="749"/>
      <c r="K4" s="749"/>
      <c r="S4" s="751"/>
      <c r="T4" s="751"/>
      <c r="U4" s="751"/>
      <c r="V4" s="751"/>
      <c r="W4" s="751"/>
      <c r="X4" s="751"/>
    </row>
    <row r="5" spans="1:31" s="750" customFormat="1" ht="12.75" customHeight="1">
      <c r="A5" s="1611"/>
      <c r="B5" s="1611" t="s">
        <v>227</v>
      </c>
      <c r="C5" s="1611"/>
      <c r="D5" s="1611"/>
      <c r="E5" s="1607" t="s">
        <v>201</v>
      </c>
      <c r="F5" s="1607" t="s">
        <v>202</v>
      </c>
      <c r="G5" s="1607" t="s">
        <v>1014</v>
      </c>
      <c r="H5" s="749"/>
      <c r="I5" s="749"/>
      <c r="J5" s="749"/>
      <c r="K5" s="749"/>
      <c r="S5" s="751"/>
      <c r="T5" s="751"/>
      <c r="U5" s="751"/>
      <c r="V5" s="751"/>
      <c r="W5" s="751"/>
      <c r="X5" s="751"/>
    </row>
    <row r="6" spans="1:31" ht="54.75" customHeight="1">
      <c r="A6" s="1611"/>
      <c r="B6" s="715" t="s">
        <v>11</v>
      </c>
      <c r="C6" s="715" t="s">
        <v>12</v>
      </c>
      <c r="D6" s="715" t="s">
        <v>13</v>
      </c>
      <c r="E6" s="1607"/>
      <c r="F6" s="1607"/>
      <c r="G6" s="1607"/>
      <c r="H6" s="539"/>
      <c r="I6" s="539"/>
      <c r="J6" s="539"/>
      <c r="K6" s="539"/>
      <c r="S6" s="540"/>
      <c r="T6" s="540"/>
      <c r="U6" s="540"/>
      <c r="V6" s="540"/>
      <c r="W6" s="540"/>
      <c r="X6" s="540"/>
    </row>
    <row r="7" spans="1:31" ht="25.5">
      <c r="A7" s="754" t="s">
        <v>82</v>
      </c>
      <c r="B7" s="755">
        <v>47432</v>
      </c>
      <c r="C7" s="755">
        <v>71148</v>
      </c>
      <c r="D7" s="755">
        <v>94864</v>
      </c>
      <c r="E7" s="755">
        <f>H34</f>
        <v>94864</v>
      </c>
      <c r="F7" s="755">
        <f>I34</f>
        <v>94864</v>
      </c>
      <c r="G7" s="755">
        <f>J34</f>
        <v>118580</v>
      </c>
      <c r="H7" s="539"/>
      <c r="I7" s="539"/>
      <c r="J7" s="539"/>
      <c r="K7" s="539"/>
      <c r="S7" s="540"/>
      <c r="T7" s="540"/>
      <c r="U7" s="540"/>
      <c r="V7" s="540"/>
      <c r="W7" s="540"/>
      <c r="X7" s="540"/>
    </row>
    <row r="8" spans="1:31" ht="25.5">
      <c r="A8" s="754" t="s">
        <v>22</v>
      </c>
      <c r="B8" s="755">
        <v>222948</v>
      </c>
      <c r="C8" s="755">
        <v>390159</v>
      </c>
      <c r="D8" s="755">
        <v>557370</v>
      </c>
      <c r="E8" s="755">
        <f>D61</f>
        <v>342112</v>
      </c>
      <c r="F8" s="756">
        <f>I35</f>
        <v>342112</v>
      </c>
      <c r="G8" s="756">
        <f>D63</f>
        <v>427640</v>
      </c>
      <c r="H8" s="539"/>
      <c r="I8" s="539"/>
      <c r="J8" s="539"/>
      <c r="K8" s="539"/>
      <c r="S8" s="540"/>
      <c r="T8" s="540"/>
      <c r="U8" s="540"/>
      <c r="V8" s="540"/>
      <c r="W8" s="540"/>
      <c r="X8" s="540"/>
    </row>
    <row r="9" spans="1:31">
      <c r="A9" s="754" t="s">
        <v>264</v>
      </c>
      <c r="B9" s="1612"/>
      <c r="C9" s="1613"/>
      <c r="D9" s="1614"/>
      <c r="E9" s="755">
        <v>100</v>
      </c>
      <c r="F9" s="755">
        <v>150</v>
      </c>
      <c r="G9" s="755">
        <v>200</v>
      </c>
      <c r="H9" s="539"/>
      <c r="I9" s="539"/>
      <c r="J9" s="539"/>
      <c r="K9" s="539"/>
      <c r="S9" s="540"/>
      <c r="T9" s="540"/>
      <c r="U9" s="540"/>
      <c r="V9" s="540"/>
      <c r="W9" s="540"/>
      <c r="X9" s="540"/>
    </row>
    <row r="10" spans="1:31">
      <c r="A10" s="541"/>
    </row>
    <row r="11" spans="1:31">
      <c r="A11" s="541" t="s">
        <v>499</v>
      </c>
    </row>
    <row r="12" spans="1:31">
      <c r="A12" s="171"/>
      <c r="B12" s="171"/>
      <c r="C12" s="171"/>
      <c r="D12" s="171"/>
      <c r="E12" s="171"/>
      <c r="F12" s="171"/>
      <c r="G12" s="172" t="s">
        <v>316</v>
      </c>
      <c r="H12" s="172" t="s">
        <v>317</v>
      </c>
      <c r="I12" s="172" t="s">
        <v>318</v>
      </c>
      <c r="J12" s="172" t="s">
        <v>319</v>
      </c>
      <c r="K12" s="173"/>
      <c r="L12" s="171"/>
      <c r="M12" s="171"/>
      <c r="N12" s="171"/>
      <c r="O12" s="1609" t="s">
        <v>340</v>
      </c>
      <c r="P12" s="1609" t="s">
        <v>341</v>
      </c>
      <c r="Q12" s="1609" t="s">
        <v>342</v>
      </c>
      <c r="R12" s="171"/>
      <c r="S12" s="171"/>
      <c r="T12" s="171"/>
      <c r="U12" s="171"/>
      <c r="V12" s="171"/>
      <c r="W12" s="171"/>
      <c r="X12" s="171"/>
      <c r="Y12" s="171"/>
      <c r="Z12" s="171"/>
      <c r="AA12" s="171"/>
      <c r="AB12" s="171"/>
      <c r="AC12" s="171"/>
      <c r="AD12" s="171"/>
      <c r="AE12" s="171"/>
    </row>
    <row r="13" spans="1:31">
      <c r="A13" s="171"/>
      <c r="B13" s="171"/>
      <c r="C13" s="171"/>
      <c r="D13" s="171"/>
      <c r="E13" s="174" t="s">
        <v>320</v>
      </c>
      <c r="F13" s="174"/>
      <c r="G13" s="175">
        <v>2304</v>
      </c>
      <c r="H13" s="175">
        <v>1388</v>
      </c>
      <c r="I13" s="175">
        <v>925</v>
      </c>
      <c r="J13" s="172"/>
      <c r="K13" s="171"/>
      <c r="L13" s="171"/>
      <c r="M13" s="171"/>
      <c r="N13" s="171"/>
      <c r="O13" s="1610"/>
      <c r="P13" s="1610"/>
      <c r="Q13" s="1610"/>
      <c r="R13" s="171"/>
      <c r="S13" s="171"/>
      <c r="T13" s="171"/>
      <c r="U13" s="171"/>
      <c r="V13" s="171"/>
      <c r="W13" s="171"/>
      <c r="X13" s="171"/>
      <c r="Y13" s="171"/>
      <c r="Z13" s="171"/>
      <c r="AA13" s="171"/>
      <c r="AB13" s="171"/>
      <c r="AC13" s="171"/>
      <c r="AD13" s="171"/>
      <c r="AE13" s="171"/>
    </row>
    <row r="14" spans="1:31">
      <c r="A14" s="171"/>
      <c r="B14" s="171"/>
      <c r="C14" s="171"/>
      <c r="D14" s="171"/>
      <c r="E14" s="174" t="s">
        <v>321</v>
      </c>
      <c r="F14" s="174"/>
      <c r="G14" s="177">
        <f>ROUND(G13/9600,4)</f>
        <v>0.24</v>
      </c>
      <c r="H14" s="177">
        <f>ROUND(H13/9600,4)</f>
        <v>0.14460000000000001</v>
      </c>
      <c r="I14" s="177">
        <f>ROUND(I13/9600,4)</f>
        <v>9.64E-2</v>
      </c>
      <c r="J14" s="178">
        <v>0.2359</v>
      </c>
      <c r="K14" s="171"/>
      <c r="L14" s="171"/>
      <c r="M14" s="171"/>
      <c r="N14" s="174" t="s">
        <v>343</v>
      </c>
      <c r="O14" s="178">
        <v>0.28570000000000001</v>
      </c>
      <c r="P14" s="178">
        <v>2.0199999999999999E-2</v>
      </c>
      <c r="Q14" s="178">
        <v>3.2199999999999999E-2</v>
      </c>
      <c r="R14" s="171"/>
      <c r="S14" s="171"/>
      <c r="T14" s="171"/>
      <c r="U14" s="171"/>
      <c r="V14" s="171"/>
      <c r="W14" s="171"/>
      <c r="X14" s="171"/>
      <c r="Y14" s="171"/>
      <c r="Z14" s="171"/>
      <c r="AA14" s="171"/>
      <c r="AB14" s="171"/>
      <c r="AC14" s="171"/>
      <c r="AD14" s="171"/>
      <c r="AE14" s="171"/>
    </row>
    <row r="15" spans="1:31">
      <c r="A15" s="171"/>
      <c r="B15" s="171"/>
      <c r="C15" s="171"/>
      <c r="D15" s="171"/>
      <c r="E15" s="171"/>
      <c r="F15" s="171"/>
      <c r="G15" s="171"/>
      <c r="H15" s="171"/>
      <c r="I15" s="171"/>
      <c r="J15" s="171"/>
      <c r="K15" s="171"/>
      <c r="L15" s="171"/>
      <c r="M15" s="171"/>
      <c r="N15" s="171"/>
      <c r="O15" s="171"/>
      <c r="P15" s="171"/>
      <c r="Q15" s="171"/>
      <c r="R15" s="171"/>
      <c r="S15" s="171"/>
      <c r="T15" s="171"/>
      <c r="U15" s="171"/>
      <c r="V15" s="171"/>
      <c r="W15" s="171"/>
      <c r="X15" s="171"/>
      <c r="Y15" s="171"/>
      <c r="Z15" s="171"/>
      <c r="AA15" s="171"/>
      <c r="AB15" s="171"/>
      <c r="AC15" s="171"/>
      <c r="AD15" s="171"/>
      <c r="AE15" s="171"/>
    </row>
    <row r="16" spans="1:31">
      <c r="A16" s="1607" t="s">
        <v>232</v>
      </c>
      <c r="B16" s="1607" t="s">
        <v>231</v>
      </c>
      <c r="C16" s="1607" t="s">
        <v>344</v>
      </c>
      <c r="D16" s="1607"/>
      <c r="E16" s="1607"/>
      <c r="F16" s="1607"/>
      <c r="G16" s="1607"/>
      <c r="H16" s="1607"/>
      <c r="I16" s="1607"/>
      <c r="J16" s="1607"/>
      <c r="K16" s="1607"/>
      <c r="L16" s="1607"/>
      <c r="M16" s="1607"/>
      <c r="N16" s="1607"/>
      <c r="O16" s="1607"/>
      <c r="P16" s="1607"/>
      <c r="Q16" s="1607"/>
      <c r="R16" s="1607" t="s">
        <v>345</v>
      </c>
      <c r="S16" s="1607" t="s">
        <v>346</v>
      </c>
      <c r="T16" s="1607" t="s">
        <v>233</v>
      </c>
      <c r="U16" s="1606" t="s">
        <v>385</v>
      </c>
      <c r="V16" s="1606" t="s">
        <v>386</v>
      </c>
      <c r="W16" s="1606" t="s">
        <v>387</v>
      </c>
      <c r="X16" s="1606" t="s">
        <v>388</v>
      </c>
      <c r="Y16" s="1606" t="s">
        <v>389</v>
      </c>
      <c r="Z16" s="1606" t="s">
        <v>390</v>
      </c>
      <c r="AA16" s="1606" t="s">
        <v>391</v>
      </c>
      <c r="AB16" s="1606" t="s">
        <v>392</v>
      </c>
      <c r="AC16" s="1607" t="s">
        <v>393</v>
      </c>
      <c r="AD16" s="1607" t="s">
        <v>394</v>
      </c>
      <c r="AE16" s="1606" t="s">
        <v>233</v>
      </c>
    </row>
    <row r="17" spans="1:31" ht="38.25">
      <c r="A17" s="1607"/>
      <c r="B17" s="1607"/>
      <c r="C17" s="1607" t="s">
        <v>347</v>
      </c>
      <c r="D17" s="1607"/>
      <c r="E17" s="1607"/>
      <c r="F17" s="179"/>
      <c r="G17" s="1607" t="s">
        <v>348</v>
      </c>
      <c r="H17" s="1607"/>
      <c r="I17" s="1607"/>
      <c r="J17" s="179" t="s">
        <v>349</v>
      </c>
      <c r="K17" s="1607" t="s">
        <v>350</v>
      </c>
      <c r="L17" s="1607"/>
      <c r="M17" s="1607"/>
      <c r="N17" s="1607" t="s">
        <v>351</v>
      </c>
      <c r="O17" s="1607" t="s">
        <v>352</v>
      </c>
      <c r="P17" s="1607" t="s">
        <v>353</v>
      </c>
      <c r="Q17" s="1607" t="s">
        <v>354</v>
      </c>
      <c r="R17" s="1607"/>
      <c r="S17" s="1607"/>
      <c r="T17" s="1607"/>
      <c r="U17" s="1606"/>
      <c r="V17" s="1606"/>
      <c r="W17" s="1606"/>
      <c r="X17" s="1606"/>
      <c r="Y17" s="1606"/>
      <c r="Z17" s="1606"/>
      <c r="AA17" s="1606"/>
      <c r="AB17" s="1606"/>
      <c r="AC17" s="1607"/>
      <c r="AD17" s="1607"/>
      <c r="AE17" s="1606"/>
    </row>
    <row r="18" spans="1:31" ht="38.25">
      <c r="A18" s="1607"/>
      <c r="B18" s="1607"/>
      <c r="C18" s="179" t="s">
        <v>355</v>
      </c>
      <c r="D18" s="179" t="s">
        <v>356</v>
      </c>
      <c r="E18" s="179" t="s">
        <v>357</v>
      </c>
      <c r="F18" s="179"/>
      <c r="G18" s="179" t="s">
        <v>355</v>
      </c>
      <c r="H18" s="179" t="s">
        <v>356</v>
      </c>
      <c r="I18" s="179" t="s">
        <v>358</v>
      </c>
      <c r="J18" s="179" t="s">
        <v>359</v>
      </c>
      <c r="K18" s="179" t="s">
        <v>360</v>
      </c>
      <c r="L18" s="180" t="s">
        <v>361</v>
      </c>
      <c r="M18" s="179" t="s">
        <v>362</v>
      </c>
      <c r="N18" s="1607"/>
      <c r="O18" s="1607"/>
      <c r="P18" s="1607"/>
      <c r="Q18" s="1607"/>
      <c r="R18" s="1607"/>
      <c r="S18" s="1607"/>
      <c r="T18" s="1607"/>
      <c r="U18" s="1606"/>
      <c r="V18" s="1606"/>
      <c r="W18" s="1606"/>
      <c r="X18" s="1606"/>
      <c r="Y18" s="1606"/>
      <c r="Z18" s="1606"/>
      <c r="AA18" s="1606"/>
      <c r="AB18" s="1606"/>
      <c r="AC18" s="1607"/>
      <c r="AD18" s="1607"/>
      <c r="AE18" s="1606"/>
    </row>
    <row r="19" spans="1:31">
      <c r="A19" s="176">
        <v>1</v>
      </c>
      <c r="B19" s="176">
        <v>2</v>
      </c>
      <c r="C19" s="176">
        <v>3</v>
      </c>
      <c r="D19" s="176">
        <v>4</v>
      </c>
      <c r="E19" s="176">
        <v>5</v>
      </c>
      <c r="F19" s="176"/>
      <c r="G19" s="176">
        <v>6</v>
      </c>
      <c r="H19" s="176">
        <v>7</v>
      </c>
      <c r="I19" s="176">
        <v>8</v>
      </c>
      <c r="J19" s="176">
        <v>9</v>
      </c>
      <c r="K19" s="176" t="s">
        <v>500</v>
      </c>
      <c r="L19" s="176">
        <v>11</v>
      </c>
      <c r="M19" s="176">
        <v>12</v>
      </c>
      <c r="N19" s="176">
        <v>13</v>
      </c>
      <c r="O19" s="176">
        <v>14</v>
      </c>
      <c r="P19" s="176">
        <v>15</v>
      </c>
      <c r="Q19" s="176">
        <v>16</v>
      </c>
      <c r="R19" s="176">
        <v>17</v>
      </c>
      <c r="S19" s="176">
        <v>18</v>
      </c>
      <c r="T19" s="176">
        <v>19</v>
      </c>
      <c r="U19" s="176">
        <v>20</v>
      </c>
      <c r="V19" s="176">
        <v>21</v>
      </c>
      <c r="W19" s="176">
        <v>22</v>
      </c>
      <c r="X19" s="176">
        <v>23</v>
      </c>
      <c r="Y19" s="176">
        <v>24</v>
      </c>
      <c r="Z19" s="176">
        <v>25</v>
      </c>
      <c r="AA19" s="176">
        <v>26</v>
      </c>
      <c r="AB19" s="176">
        <v>27</v>
      </c>
      <c r="AC19" s="176">
        <v>28</v>
      </c>
      <c r="AD19" s="176">
        <v>29</v>
      </c>
      <c r="AE19" s="176">
        <v>30</v>
      </c>
    </row>
    <row r="20" spans="1:31" ht="38.25">
      <c r="A20" s="181" t="s">
        <v>501</v>
      </c>
      <c r="B20" s="182" t="s">
        <v>502</v>
      </c>
      <c r="C20" s="183">
        <v>30</v>
      </c>
      <c r="D20" s="183">
        <v>20</v>
      </c>
      <c r="E20" s="183">
        <v>0</v>
      </c>
      <c r="F20" s="183"/>
      <c r="G20" s="184">
        <f>ROUND((C20*$G$14),2)</f>
        <v>7.2</v>
      </c>
      <c r="H20" s="183">
        <f>ROUND((D20*$H$14),2)</f>
        <v>2.89</v>
      </c>
      <c r="I20" s="183">
        <f>ROUND((E20*$I$14),2)</f>
        <v>0</v>
      </c>
      <c r="J20" s="184">
        <f>ROUND(((G20+H20+I20)*$J$14),2)</f>
        <v>2.38</v>
      </c>
      <c r="K20" s="185">
        <f>L20+M20</f>
        <v>24.57</v>
      </c>
      <c r="L20" s="185">
        <v>1.7</v>
      </c>
      <c r="M20" s="185">
        <v>22.87</v>
      </c>
      <c r="N20" s="184">
        <v>24.96</v>
      </c>
      <c r="O20" s="184">
        <f>ROUND((G20+H20+I20)*$O$14,2)</f>
        <v>2.88</v>
      </c>
      <c r="P20" s="184">
        <f>ROUND((G20+H20+I20)*$P$14,2)</f>
        <v>0.2</v>
      </c>
      <c r="Q20" s="184">
        <f>ROUND((G20+H20+I20)*$Q$14,2)</f>
        <v>0.32</v>
      </c>
      <c r="R20" s="186">
        <f>ROUND((G20+H20+I20+J20+K20+N20+O20+P20+Q20),2)</f>
        <v>65.400000000000006</v>
      </c>
      <c r="S20" s="187">
        <v>0</v>
      </c>
      <c r="T20" s="186">
        <f>R20-S20</f>
        <v>65.400000000000006</v>
      </c>
      <c r="U20" s="185">
        <f>G20+H20+I20</f>
        <v>10.09</v>
      </c>
      <c r="V20" s="185">
        <f>J20</f>
        <v>2.38</v>
      </c>
      <c r="W20" s="185">
        <f>K20</f>
        <v>24.57</v>
      </c>
      <c r="X20" s="188"/>
      <c r="Y20" s="185">
        <f>O20</f>
        <v>2.88</v>
      </c>
      <c r="Z20" s="185">
        <f>P20</f>
        <v>0.2</v>
      </c>
      <c r="AA20" s="185">
        <f>N20+Q20</f>
        <v>25.28</v>
      </c>
      <c r="AB20" s="188"/>
      <c r="AC20" s="185">
        <f>SUM(U20:AB20)</f>
        <v>65.400000000000006</v>
      </c>
      <c r="AD20" s="185">
        <f>S20</f>
        <v>0</v>
      </c>
      <c r="AE20" s="185">
        <f>AC20-AD20</f>
        <v>65.400000000000006</v>
      </c>
    </row>
    <row r="21" spans="1:31" s="169" customFormat="1" ht="63.75">
      <c r="A21" s="181" t="s">
        <v>503</v>
      </c>
      <c r="B21" s="182" t="s">
        <v>504</v>
      </c>
      <c r="C21" s="183">
        <v>3</v>
      </c>
      <c r="D21" s="183">
        <v>0</v>
      </c>
      <c r="E21" s="183">
        <v>0</v>
      </c>
      <c r="F21" s="183"/>
      <c r="G21" s="184">
        <f>ROUND((C21*$G$14),2)</f>
        <v>0.72</v>
      </c>
      <c r="H21" s="183">
        <f>ROUND((D21*$H$14),2)</f>
        <v>0</v>
      </c>
      <c r="I21" s="183">
        <f>ROUND((E21*$I$14),2)</f>
        <v>0</v>
      </c>
      <c r="J21" s="184">
        <f>ROUND(((G21+H21+I21)*$J$14),2)</f>
        <v>0.17</v>
      </c>
      <c r="K21" s="185">
        <f>L21+M21</f>
        <v>0.28000000000000003</v>
      </c>
      <c r="L21" s="189">
        <v>0.23</v>
      </c>
      <c r="M21" s="189">
        <v>0.05</v>
      </c>
      <c r="N21" s="184">
        <v>0</v>
      </c>
      <c r="O21" s="184">
        <f>ROUND((G21+H21+I21)*$O$14,2)</f>
        <v>0.21</v>
      </c>
      <c r="P21" s="184">
        <f>ROUND((G21+H21+I21)*$P$14,2)</f>
        <v>0.01</v>
      </c>
      <c r="Q21" s="184">
        <f>ROUND((G21+H21+I21)*$Q$14,2)</f>
        <v>0.02</v>
      </c>
      <c r="R21" s="186">
        <f>ROUND((G21+H21+I21+J21+K21+N21+O21+P21+Q21),2)</f>
        <v>1.41</v>
      </c>
      <c r="S21" s="187">
        <v>0</v>
      </c>
      <c r="T21" s="186">
        <f>R21-S21</f>
        <v>1.41</v>
      </c>
      <c r="U21" s="185">
        <f>G21+H21+I21</f>
        <v>0.72</v>
      </c>
      <c r="V21" s="185">
        <f>J21</f>
        <v>0.17</v>
      </c>
      <c r="W21" s="185">
        <f>K21</f>
        <v>0.28000000000000003</v>
      </c>
      <c r="X21" s="188"/>
      <c r="Y21" s="185">
        <f>O21</f>
        <v>0.21</v>
      </c>
      <c r="Z21" s="185">
        <f>P21</f>
        <v>0.01</v>
      </c>
      <c r="AA21" s="185">
        <f>N21+Q21</f>
        <v>0.02</v>
      </c>
      <c r="AB21" s="188"/>
      <c r="AC21" s="185">
        <f>SUM(U21:AB21)</f>
        <v>1.41</v>
      </c>
      <c r="AD21" s="185">
        <f>S21</f>
        <v>0</v>
      </c>
      <c r="AE21" s="185">
        <f>AC21-AD21</f>
        <v>1.41</v>
      </c>
    </row>
    <row r="22" spans="1:31">
      <c r="A22" s="541"/>
    </row>
    <row r="23" spans="1:31" ht="13.5">
      <c r="A23" s="541"/>
      <c r="H23" s="753"/>
      <c r="I23" s="753"/>
      <c r="J23" s="753"/>
      <c r="K23" s="753"/>
      <c r="L23" s="753"/>
      <c r="M23" s="753"/>
      <c r="N23" s="753"/>
      <c r="O23" s="753"/>
    </row>
    <row r="24" spans="1:31" ht="63.75">
      <c r="A24" s="542" t="s">
        <v>505</v>
      </c>
      <c r="B24" s="543" t="s">
        <v>232</v>
      </c>
      <c r="C24" s="543" t="s">
        <v>233</v>
      </c>
      <c r="D24" s="543" t="s">
        <v>506</v>
      </c>
      <c r="E24" s="543" t="s">
        <v>507</v>
      </c>
      <c r="F24" s="543" t="s">
        <v>234</v>
      </c>
      <c r="G24" s="543" t="s">
        <v>508</v>
      </c>
      <c r="H24" s="544" t="s">
        <v>509</v>
      </c>
      <c r="I24" s="544" t="s">
        <v>510</v>
      </c>
      <c r="J24" s="544" t="s">
        <v>511</v>
      </c>
      <c r="N24" s="753"/>
      <c r="O24" s="753"/>
    </row>
    <row r="25" spans="1:31" ht="13.5">
      <c r="A25" s="545" t="s">
        <v>502</v>
      </c>
      <c r="B25" s="542">
        <v>17294</v>
      </c>
      <c r="C25" s="543">
        <v>65.400000000000006</v>
      </c>
      <c r="D25" s="546">
        <v>100</v>
      </c>
      <c r="E25" s="547">
        <v>100</v>
      </c>
      <c r="F25" s="546">
        <v>8</v>
      </c>
      <c r="G25" s="543">
        <f t="shared" ref="G25:G33" si="0">C25*(50*8+50*4)</f>
        <v>39240</v>
      </c>
      <c r="H25" s="548">
        <f t="shared" ref="H25:H33" si="1">C25*E25*8</f>
        <v>52320.000000000007</v>
      </c>
      <c r="I25" s="548">
        <f t="shared" ref="I25:I33" si="2">C25*(100*4+50*8)</f>
        <v>52320.000000000007</v>
      </c>
      <c r="J25" s="548">
        <f t="shared" ref="J25:J33" si="3">C25*(150*4+50*8)</f>
        <v>65400.000000000007</v>
      </c>
      <c r="N25" s="753"/>
      <c r="O25" s="753"/>
    </row>
    <row r="26" spans="1:31" ht="13.5">
      <c r="A26" s="549" t="s">
        <v>504</v>
      </c>
      <c r="B26" s="550" t="s">
        <v>503</v>
      </c>
      <c r="C26" s="543">
        <v>1.41</v>
      </c>
      <c r="D26" s="546">
        <v>100</v>
      </c>
      <c r="E26" s="547">
        <v>100</v>
      </c>
      <c r="F26" s="546">
        <v>8</v>
      </c>
      <c r="G26" s="543">
        <f t="shared" si="0"/>
        <v>846</v>
      </c>
      <c r="H26" s="548">
        <f t="shared" si="1"/>
        <v>1128</v>
      </c>
      <c r="I26" s="548">
        <f t="shared" si="2"/>
        <v>1128</v>
      </c>
      <c r="J26" s="548">
        <f t="shared" si="3"/>
        <v>1410</v>
      </c>
      <c r="N26" s="753"/>
      <c r="O26" s="753"/>
    </row>
    <row r="27" spans="1:31" ht="13.5">
      <c r="A27" s="549" t="s">
        <v>512</v>
      </c>
      <c r="B27" s="542">
        <v>17030</v>
      </c>
      <c r="C27" s="543">
        <v>5.55</v>
      </c>
      <c r="D27" s="546">
        <v>100</v>
      </c>
      <c r="E27" s="547">
        <v>100</v>
      </c>
      <c r="F27" s="546">
        <v>8</v>
      </c>
      <c r="G27" s="543">
        <f t="shared" si="0"/>
        <v>3330</v>
      </c>
      <c r="H27" s="548">
        <f t="shared" si="1"/>
        <v>4440</v>
      </c>
      <c r="I27" s="548">
        <f t="shared" si="2"/>
        <v>4440</v>
      </c>
      <c r="J27" s="548">
        <f t="shared" si="3"/>
        <v>5550</v>
      </c>
      <c r="N27" s="753"/>
      <c r="O27" s="753"/>
    </row>
    <row r="28" spans="1:31" ht="13.5">
      <c r="A28" s="549" t="s">
        <v>513</v>
      </c>
      <c r="B28" s="542">
        <v>17017</v>
      </c>
      <c r="C28" s="543">
        <v>2.6</v>
      </c>
      <c r="D28" s="546">
        <v>100</v>
      </c>
      <c r="E28" s="547">
        <v>100</v>
      </c>
      <c r="F28" s="546">
        <v>8</v>
      </c>
      <c r="G28" s="543">
        <f t="shared" si="0"/>
        <v>1560</v>
      </c>
      <c r="H28" s="548">
        <f t="shared" si="1"/>
        <v>2080</v>
      </c>
      <c r="I28" s="548">
        <f t="shared" si="2"/>
        <v>2080</v>
      </c>
      <c r="J28" s="548">
        <f t="shared" si="3"/>
        <v>2600</v>
      </c>
      <c r="N28" s="753"/>
      <c r="O28" s="753"/>
    </row>
    <row r="29" spans="1:31" ht="13.5">
      <c r="A29" s="549" t="s">
        <v>514</v>
      </c>
      <c r="B29" s="551">
        <v>17101</v>
      </c>
      <c r="C29" s="552">
        <v>2.39</v>
      </c>
      <c r="D29" s="553">
        <v>100</v>
      </c>
      <c r="E29" s="554">
        <v>100</v>
      </c>
      <c r="F29" s="553">
        <v>8</v>
      </c>
      <c r="G29" s="543">
        <f t="shared" si="0"/>
        <v>1434</v>
      </c>
      <c r="H29" s="548">
        <f t="shared" si="1"/>
        <v>1912</v>
      </c>
      <c r="I29" s="548">
        <f t="shared" si="2"/>
        <v>1912</v>
      </c>
      <c r="J29" s="548">
        <f t="shared" si="3"/>
        <v>2390</v>
      </c>
      <c r="K29" s="555"/>
      <c r="L29" s="555"/>
      <c r="M29" s="555"/>
      <c r="N29" s="753"/>
      <c r="O29" s="753"/>
      <c r="P29" s="555"/>
      <c r="Q29" s="555"/>
      <c r="R29" s="555"/>
      <c r="S29" s="555"/>
      <c r="T29" s="555"/>
      <c r="U29" s="555"/>
      <c r="V29" s="555"/>
      <c r="W29" s="555"/>
      <c r="X29" s="555"/>
    </row>
    <row r="30" spans="1:31" ht="13.5">
      <c r="A30" s="549" t="s">
        <v>515</v>
      </c>
      <c r="B30" s="551">
        <v>17080</v>
      </c>
      <c r="C30" s="552">
        <v>3.27</v>
      </c>
      <c r="D30" s="553">
        <v>100</v>
      </c>
      <c r="E30" s="554">
        <v>100</v>
      </c>
      <c r="F30" s="553">
        <v>8</v>
      </c>
      <c r="G30" s="543">
        <f t="shared" si="0"/>
        <v>1962</v>
      </c>
      <c r="H30" s="548">
        <f t="shared" si="1"/>
        <v>2616</v>
      </c>
      <c r="I30" s="548">
        <f t="shared" si="2"/>
        <v>2616</v>
      </c>
      <c r="J30" s="548">
        <f t="shared" si="3"/>
        <v>3270</v>
      </c>
      <c r="K30" s="555"/>
      <c r="L30" s="555"/>
      <c r="M30" s="555"/>
      <c r="N30" s="753"/>
      <c r="O30" s="753"/>
      <c r="P30" s="555"/>
      <c r="Q30" s="555"/>
      <c r="R30" s="555"/>
      <c r="S30" s="555"/>
      <c r="T30" s="555"/>
      <c r="U30" s="555"/>
      <c r="V30" s="555"/>
      <c r="W30" s="555"/>
      <c r="X30" s="555"/>
    </row>
    <row r="31" spans="1:31" ht="13.5">
      <c r="A31" s="549" t="s">
        <v>516</v>
      </c>
      <c r="B31" s="551">
        <v>17086</v>
      </c>
      <c r="C31" s="552">
        <v>3.33</v>
      </c>
      <c r="D31" s="553">
        <v>100</v>
      </c>
      <c r="E31" s="554">
        <v>100</v>
      </c>
      <c r="F31" s="553">
        <v>8</v>
      </c>
      <c r="G31" s="543">
        <f t="shared" si="0"/>
        <v>1998</v>
      </c>
      <c r="H31" s="548">
        <f t="shared" si="1"/>
        <v>2664</v>
      </c>
      <c r="I31" s="548">
        <f t="shared" si="2"/>
        <v>2664</v>
      </c>
      <c r="J31" s="548">
        <f t="shared" si="3"/>
        <v>3330</v>
      </c>
      <c r="K31" s="555"/>
      <c r="L31" s="555"/>
      <c r="M31" s="555"/>
      <c r="N31" s="753"/>
      <c r="O31" s="753"/>
      <c r="P31" s="555"/>
      <c r="Q31" s="555"/>
      <c r="R31" s="555"/>
      <c r="S31" s="555"/>
      <c r="T31" s="555"/>
      <c r="U31" s="555"/>
      <c r="V31" s="555"/>
      <c r="W31" s="555"/>
      <c r="X31" s="555"/>
    </row>
    <row r="32" spans="1:31" s="538" customFormat="1" ht="13.5">
      <c r="A32" s="556" t="s">
        <v>517</v>
      </c>
      <c r="B32" s="551">
        <v>17103</v>
      </c>
      <c r="C32" s="552">
        <v>9.74</v>
      </c>
      <c r="D32" s="553">
        <v>100</v>
      </c>
      <c r="E32" s="554">
        <v>100</v>
      </c>
      <c r="F32" s="553">
        <v>8</v>
      </c>
      <c r="G32" s="543">
        <f t="shared" si="0"/>
        <v>5844</v>
      </c>
      <c r="H32" s="548">
        <f t="shared" si="1"/>
        <v>7792</v>
      </c>
      <c r="I32" s="548">
        <f t="shared" si="2"/>
        <v>7792</v>
      </c>
      <c r="J32" s="548">
        <f t="shared" si="3"/>
        <v>9740</v>
      </c>
      <c r="K32" s="555"/>
      <c r="L32" s="555"/>
      <c r="M32" s="555"/>
      <c r="N32" s="753"/>
      <c r="O32" s="753"/>
      <c r="P32" s="555"/>
      <c r="Q32" s="555"/>
      <c r="R32" s="555"/>
      <c r="S32" s="555"/>
      <c r="T32" s="555"/>
      <c r="U32" s="555"/>
      <c r="V32" s="555"/>
      <c r="W32" s="555"/>
      <c r="X32" s="555"/>
    </row>
    <row r="33" spans="1:24" ht="38.25">
      <c r="A33" s="557" t="s">
        <v>518</v>
      </c>
      <c r="B33" s="551">
        <v>60075</v>
      </c>
      <c r="C33" s="552">
        <v>24.89</v>
      </c>
      <c r="D33" s="553">
        <v>100</v>
      </c>
      <c r="E33" s="558">
        <v>100</v>
      </c>
      <c r="F33" s="553">
        <v>8</v>
      </c>
      <c r="G33" s="543">
        <f t="shared" si="0"/>
        <v>14934</v>
      </c>
      <c r="H33" s="548">
        <f t="shared" si="1"/>
        <v>19912</v>
      </c>
      <c r="I33" s="548">
        <f t="shared" si="2"/>
        <v>19912</v>
      </c>
      <c r="J33" s="548">
        <f t="shared" si="3"/>
        <v>24890</v>
      </c>
      <c r="K33" s="555"/>
      <c r="L33" s="555"/>
      <c r="M33" s="555"/>
      <c r="N33" s="753"/>
      <c r="O33" s="753"/>
      <c r="P33" s="555"/>
      <c r="Q33" s="555"/>
      <c r="R33" s="555"/>
      <c r="S33" s="555"/>
      <c r="T33" s="555"/>
      <c r="U33" s="555"/>
      <c r="V33" s="555"/>
      <c r="W33" s="555"/>
      <c r="X33" s="555"/>
    </row>
    <row r="34" spans="1:24" ht="13.5">
      <c r="A34" s="1088" t="s">
        <v>519</v>
      </c>
      <c r="B34" s="1089"/>
      <c r="C34" s="1090">
        <f>SUM(C25:C33)</f>
        <v>118.57999999999998</v>
      </c>
      <c r="D34" s="1089"/>
      <c r="E34" s="1091"/>
      <c r="F34" s="1089"/>
      <c r="G34" s="1092">
        <f>SUM(G25:G33)</f>
        <v>71148</v>
      </c>
      <c r="H34" s="1092">
        <f>SUM(H25:H33)</f>
        <v>94864</v>
      </c>
      <c r="I34" s="1092">
        <f>SUM(I25:I33)</f>
        <v>94864</v>
      </c>
      <c r="J34" s="1092">
        <f>SUM(J25:J33)</f>
        <v>118580</v>
      </c>
      <c r="N34" s="753"/>
      <c r="O34" s="753"/>
    </row>
    <row r="35" spans="1:24" ht="13.5">
      <c r="A35" s="1088" t="s">
        <v>520</v>
      </c>
      <c r="B35" s="1093"/>
      <c r="C35" s="1094">
        <v>427.64</v>
      </c>
      <c r="D35" s="1095"/>
      <c r="E35" s="1095"/>
      <c r="F35" s="1095"/>
      <c r="G35" s="1094">
        <f>C35*(50*4+50*8)</f>
        <v>256584</v>
      </c>
      <c r="H35" s="1096">
        <f>C35*100*8</f>
        <v>342112</v>
      </c>
      <c r="I35" s="1096">
        <f>C35*(100*4+50*8)</f>
        <v>342112</v>
      </c>
      <c r="J35" s="1096">
        <f>C35*(150*4+50*8)</f>
        <v>427640</v>
      </c>
      <c r="N35" s="753"/>
      <c r="O35" s="753"/>
    </row>
    <row r="36" spans="1:24" ht="13.5">
      <c r="A36" s="1097" t="s">
        <v>521</v>
      </c>
      <c r="B36" s="1093"/>
      <c r="C36" s="1117">
        <f>C34+C35</f>
        <v>546.22</v>
      </c>
      <c r="D36" s="1095"/>
      <c r="E36" s="1095"/>
      <c r="F36" s="1095"/>
      <c r="G36" s="1098">
        <f>G34+G35</f>
        <v>327732</v>
      </c>
      <c r="H36" s="1098">
        <f>H34+H35</f>
        <v>436976</v>
      </c>
      <c r="I36" s="1098">
        <f>I34+I35</f>
        <v>436976</v>
      </c>
      <c r="J36" s="1098">
        <f>J34+J35</f>
        <v>546220</v>
      </c>
      <c r="N36" s="753"/>
      <c r="O36" s="753"/>
    </row>
    <row r="37" spans="1:24">
      <c r="A37" s="1601"/>
      <c r="B37" s="1601"/>
      <c r="C37" s="1601"/>
      <c r="D37" s="1601"/>
      <c r="E37" s="1601"/>
      <c r="F37" s="1601"/>
      <c r="G37" s="1601"/>
      <c r="H37" s="1601"/>
      <c r="I37" s="1601"/>
      <c r="J37" s="1601"/>
      <c r="K37" s="1602"/>
      <c r="L37" s="1602"/>
      <c r="M37" s="1602"/>
    </row>
    <row r="38" spans="1:24">
      <c r="A38" s="1602" t="s">
        <v>522</v>
      </c>
      <c r="B38" s="1602"/>
      <c r="C38" s="1602"/>
      <c r="D38" s="1602"/>
      <c r="E38" s="1602"/>
      <c r="F38" s="1602"/>
      <c r="G38" s="1602"/>
      <c r="H38" s="1602"/>
      <c r="I38" s="1602"/>
      <c r="J38" s="1602"/>
      <c r="K38" s="1602"/>
      <c r="L38" s="1602"/>
      <c r="M38" s="1602"/>
    </row>
    <row r="39" spans="1:24">
      <c r="A39" s="1118" t="s">
        <v>523</v>
      </c>
      <c r="C39" s="1118"/>
      <c r="D39" s="1118"/>
      <c r="E39" s="1118"/>
      <c r="F39" s="1118"/>
      <c r="G39" s="1118"/>
      <c r="H39" s="1118"/>
      <c r="I39" s="1118"/>
      <c r="J39" s="1118"/>
      <c r="K39" s="1118"/>
      <c r="L39" s="1118"/>
      <c r="M39" s="1118"/>
    </row>
    <row r="40" spans="1:24">
      <c r="A40" s="1099"/>
      <c r="B40" s="1100"/>
      <c r="C40" s="1100"/>
      <c r="D40" s="1100"/>
      <c r="E40" s="1100"/>
      <c r="F40" s="1100"/>
      <c r="G40" s="1100"/>
      <c r="H40" s="1100"/>
      <c r="I40" s="1100"/>
      <c r="J40" s="1100"/>
      <c r="K40" s="1100"/>
      <c r="L40" s="1100"/>
      <c r="M40" s="1100"/>
    </row>
    <row r="41" spans="1:24">
      <c r="A41" s="1101" t="s">
        <v>524</v>
      </c>
      <c r="B41" s="1102" t="s">
        <v>525</v>
      </c>
      <c r="C41" s="1103"/>
      <c r="D41" s="1103"/>
      <c r="E41" s="1104"/>
      <c r="F41" s="1104"/>
      <c r="G41" s="1104"/>
      <c r="H41" s="1104"/>
      <c r="I41" s="1104"/>
      <c r="J41" s="1104"/>
      <c r="K41" s="1104"/>
      <c r="L41" s="1105"/>
      <c r="M41" s="1105"/>
    </row>
    <row r="42" spans="1:24">
      <c r="A42" s="1101" t="s">
        <v>526</v>
      </c>
      <c r="B42" s="1102">
        <v>8</v>
      </c>
      <c r="C42" s="1103"/>
      <c r="D42" s="1103"/>
      <c r="E42" s="1104"/>
      <c r="F42" s="1104"/>
      <c r="G42" s="1104"/>
      <c r="H42" s="1104"/>
      <c r="I42" s="1104"/>
      <c r="J42" s="1104"/>
      <c r="K42" s="1104"/>
      <c r="L42" s="1105"/>
      <c r="M42" s="1105"/>
    </row>
    <row r="43" spans="1:24">
      <c r="A43" s="1101" t="s">
        <v>527</v>
      </c>
      <c r="B43" s="1102">
        <v>4</v>
      </c>
      <c r="C43" s="1103"/>
      <c r="D43" s="1103"/>
      <c r="E43" s="1104"/>
      <c r="F43" s="1104"/>
      <c r="G43" s="1104"/>
      <c r="H43" s="1104"/>
      <c r="I43" s="1104"/>
      <c r="J43" s="1104"/>
      <c r="K43" s="1104"/>
      <c r="L43" s="1105"/>
      <c r="M43" s="1105"/>
    </row>
    <row r="44" spans="1:24">
      <c r="A44" s="1101" t="s">
        <v>528</v>
      </c>
      <c r="B44" s="1102">
        <v>4</v>
      </c>
      <c r="C44" s="1103"/>
      <c r="D44" s="1103"/>
      <c r="E44" s="1105"/>
      <c r="F44" s="1105"/>
      <c r="G44" s="1105"/>
      <c r="H44" s="1105"/>
      <c r="I44" s="1105"/>
      <c r="J44" s="1105"/>
      <c r="K44" s="1105"/>
      <c r="L44" s="1105"/>
      <c r="M44" s="1105"/>
    </row>
    <row r="45" spans="1:24">
      <c r="A45" s="1105"/>
      <c r="B45" s="1105"/>
      <c r="C45" s="1105"/>
      <c r="D45" s="1105"/>
      <c r="E45" s="1105"/>
      <c r="F45" s="1105"/>
      <c r="G45" s="1105"/>
      <c r="H45" s="1105"/>
      <c r="I45" s="1105"/>
      <c r="J45" s="1105"/>
      <c r="K45" s="1105"/>
      <c r="L45" s="1105"/>
      <c r="M45" s="1105"/>
    </row>
    <row r="46" spans="1:24">
      <c r="A46" s="1105"/>
      <c r="B46" s="1106">
        <v>2025</v>
      </c>
      <c r="C46" s="1107">
        <v>2026</v>
      </c>
      <c r="D46" s="1107">
        <v>2027</v>
      </c>
      <c r="E46" s="1107" t="s">
        <v>274</v>
      </c>
      <c r="H46" s="1105"/>
      <c r="I46" s="1105"/>
      <c r="J46" s="1105"/>
      <c r="K46" s="1105"/>
      <c r="L46" s="1105"/>
      <c r="M46" s="1105"/>
    </row>
    <row r="47" spans="1:24">
      <c r="A47" s="1108" t="s">
        <v>529</v>
      </c>
      <c r="B47" s="1109">
        <v>50</v>
      </c>
      <c r="C47" s="1109">
        <v>100</v>
      </c>
      <c r="D47" s="1109">
        <v>150</v>
      </c>
      <c r="E47" s="1109">
        <v>150</v>
      </c>
      <c r="F47" s="1105"/>
      <c r="G47" s="1105"/>
      <c r="H47" s="1105"/>
      <c r="I47" s="1105"/>
      <c r="J47" s="1105"/>
      <c r="K47" s="1105"/>
      <c r="L47" s="1105"/>
      <c r="M47" s="1105"/>
    </row>
    <row r="48" spans="1:24">
      <c r="A48" s="1105" t="s">
        <v>530</v>
      </c>
      <c r="B48" s="1110">
        <f>C36*B42*50</f>
        <v>218488</v>
      </c>
      <c r="C48" s="1111">
        <f>G36</f>
        <v>327732</v>
      </c>
      <c r="D48" s="1109"/>
      <c r="E48" s="1109"/>
      <c r="F48" s="1105"/>
      <c r="G48" s="1105"/>
      <c r="H48" s="1105"/>
      <c r="I48" s="1105"/>
      <c r="J48" s="1105"/>
      <c r="K48" s="1105"/>
      <c r="L48" s="1105"/>
      <c r="M48" s="1105"/>
    </row>
    <row r="49" spans="1:13">
      <c r="A49" s="1108" t="s">
        <v>531</v>
      </c>
      <c r="B49" s="1109">
        <v>0</v>
      </c>
      <c r="C49" s="1109">
        <v>100</v>
      </c>
      <c r="D49" s="1109">
        <v>150</v>
      </c>
      <c r="E49" s="1109">
        <v>200</v>
      </c>
      <c r="F49" s="1105"/>
      <c r="G49" s="1105"/>
      <c r="H49" s="1105"/>
      <c r="I49" s="1105"/>
      <c r="J49" s="1105"/>
      <c r="K49" s="1105"/>
      <c r="L49" s="1105"/>
      <c r="M49" s="1105"/>
    </row>
    <row r="50" spans="1:13">
      <c r="A50" s="1112" t="s">
        <v>532</v>
      </c>
      <c r="B50" s="1113"/>
      <c r="C50" s="1114">
        <f>C49*B42*(C34+C35)</f>
        <v>436976</v>
      </c>
      <c r="D50" s="1114">
        <f>(50*B42*(C34+C35))+(100*B43*(C34+C35))</f>
        <v>436976</v>
      </c>
      <c r="E50" s="1114">
        <f>(150*B43*(C34+C35))+(50*B42*(C34+C35))</f>
        <v>546220</v>
      </c>
      <c r="F50" s="1105"/>
      <c r="G50" s="1105"/>
      <c r="H50" s="1105"/>
      <c r="I50" s="1105"/>
      <c r="J50" s="1105"/>
      <c r="K50" s="1105"/>
      <c r="L50" s="1105"/>
      <c r="M50" s="1105"/>
    </row>
    <row r="51" spans="1:13">
      <c r="A51" s="1108" t="s">
        <v>533</v>
      </c>
      <c r="B51" s="1109">
        <f>B47+B49</f>
        <v>50</v>
      </c>
      <c r="C51" s="1109">
        <f>C47+C49</f>
        <v>200</v>
      </c>
      <c r="D51" s="1109">
        <f>D47+D49</f>
        <v>300</v>
      </c>
      <c r="E51" s="1109">
        <f>E47 + E49</f>
        <v>350</v>
      </c>
      <c r="F51" s="1105"/>
      <c r="G51" s="1105"/>
      <c r="H51" s="1105"/>
      <c r="I51" s="1105"/>
      <c r="J51" s="1105"/>
      <c r="K51" s="1105"/>
      <c r="L51" s="1105"/>
      <c r="M51" s="1105"/>
    </row>
    <row r="52" spans="1:13" ht="51">
      <c r="A52" s="1115" t="s">
        <v>534</v>
      </c>
      <c r="B52" s="1116"/>
      <c r="C52" s="1115" t="s">
        <v>535</v>
      </c>
      <c r="D52" s="1115" t="s">
        <v>536</v>
      </c>
      <c r="E52" s="1115" t="s">
        <v>537</v>
      </c>
      <c r="F52" s="1105"/>
      <c r="G52" s="1105"/>
      <c r="H52" s="1105"/>
      <c r="I52" s="1105"/>
      <c r="J52" s="1105"/>
      <c r="K52" s="1105"/>
      <c r="L52" s="1105"/>
      <c r="M52" s="1105"/>
    </row>
    <row r="53" spans="1:13">
      <c r="A53" s="560" t="s">
        <v>538</v>
      </c>
      <c r="C53" s="537" t="s">
        <v>539</v>
      </c>
      <c r="D53" s="537" t="s">
        <v>539</v>
      </c>
      <c r="E53" s="537" t="s">
        <v>540</v>
      </c>
    </row>
    <row r="55" spans="1:13">
      <c r="B55" s="561"/>
    </row>
    <row r="58" spans="1:13">
      <c r="A58" s="1603" t="s">
        <v>541</v>
      </c>
      <c r="B58" s="1603"/>
      <c r="C58" s="1603"/>
      <c r="D58" s="1603"/>
      <c r="E58" s="1603"/>
      <c r="F58" s="562"/>
      <c r="G58" s="563"/>
      <c r="H58" s="563"/>
      <c r="I58" s="563"/>
    </row>
    <row r="59" spans="1:13" ht="76.5">
      <c r="A59" s="543" t="s">
        <v>542</v>
      </c>
      <c r="B59" s="543" t="s">
        <v>543</v>
      </c>
      <c r="C59" s="543" t="s">
        <v>544</v>
      </c>
      <c r="D59" s="564" t="s">
        <v>545</v>
      </c>
      <c r="E59" s="543" t="s">
        <v>546</v>
      </c>
      <c r="F59" s="543"/>
      <c r="G59" s="543" t="s">
        <v>547</v>
      </c>
      <c r="H59" s="563"/>
    </row>
    <row r="60" spans="1:13">
      <c r="A60" s="565">
        <v>100</v>
      </c>
      <c r="B60" s="565">
        <v>150</v>
      </c>
      <c r="C60" s="565">
        <v>200</v>
      </c>
      <c r="D60" s="566">
        <f>8*427.64</f>
        <v>3421.12</v>
      </c>
      <c r="E60" s="566">
        <f>4*427.64</f>
        <v>1710.56</v>
      </c>
      <c r="F60" s="566"/>
      <c r="G60" s="566">
        <f>4*427.64</f>
        <v>1710.56</v>
      </c>
      <c r="H60" s="559"/>
    </row>
    <row r="61" spans="1:13">
      <c r="A61" s="567"/>
      <c r="B61" s="567"/>
      <c r="C61" s="568" t="s">
        <v>548</v>
      </c>
      <c r="D61" s="569">
        <f>C35*8*100</f>
        <v>342112</v>
      </c>
      <c r="E61" s="570"/>
      <c r="F61" s="570"/>
      <c r="G61" s="571"/>
      <c r="H61" s="559"/>
    </row>
    <row r="62" spans="1:13">
      <c r="A62" s="567"/>
      <c r="B62" s="572"/>
      <c r="C62" s="573" t="s">
        <v>549</v>
      </c>
      <c r="D62" s="574">
        <f>C35*(100*4+50*8)</f>
        <v>342112</v>
      </c>
      <c r="E62" s="575"/>
      <c r="F62" s="575"/>
      <c r="G62" s="576"/>
      <c r="H62" s="559"/>
    </row>
    <row r="63" spans="1:13">
      <c r="A63" s="568"/>
      <c r="B63" s="577"/>
      <c r="C63" s="578" t="s">
        <v>550</v>
      </c>
      <c r="D63" s="579">
        <f>C35*(150*4+50*8)</f>
        <v>427640</v>
      </c>
      <c r="E63" s="580"/>
      <c r="F63" s="580"/>
      <c r="G63" s="580"/>
      <c r="H63" s="559"/>
    </row>
    <row r="64" spans="1:13">
      <c r="A64" s="1604"/>
      <c r="B64" s="1604"/>
      <c r="C64" s="1604"/>
      <c r="D64" s="1604"/>
      <c r="E64" s="1604"/>
      <c r="F64" s="1604"/>
      <c r="G64" s="1604"/>
      <c r="H64" s="1604"/>
      <c r="I64" s="1604"/>
      <c r="J64" s="1604"/>
    </row>
    <row r="65" spans="1:10">
      <c r="A65" s="581"/>
      <c r="B65" s="581"/>
      <c r="C65" s="581"/>
      <c r="D65" s="581"/>
      <c r="E65" s="581"/>
      <c r="F65" s="582"/>
      <c r="G65" s="582"/>
      <c r="H65" s="582"/>
      <c r="I65" s="582"/>
      <c r="J65" s="581"/>
    </row>
    <row r="66" spans="1:10">
      <c r="A66" s="1605" t="s">
        <v>551</v>
      </c>
      <c r="B66" s="1605"/>
      <c r="C66" s="1605"/>
      <c r="D66" s="1605"/>
      <c r="E66" s="1605"/>
      <c r="F66" s="1605"/>
      <c r="G66" s="1605"/>
      <c r="H66" s="1605"/>
      <c r="I66" s="1605"/>
      <c r="J66" s="538"/>
    </row>
  </sheetData>
  <mergeCells count="40">
    <mergeCell ref="A16:A18"/>
    <mergeCell ref="B16:B18"/>
    <mergeCell ref="C16:M16"/>
    <mergeCell ref="N16:Q16"/>
    <mergeCell ref="R16:R18"/>
    <mergeCell ref="O12:O13"/>
    <mergeCell ref="P12:P13"/>
    <mergeCell ref="Q12:Q13"/>
    <mergeCell ref="B5:D5"/>
    <mergeCell ref="A5:A6"/>
    <mergeCell ref="E5:E6"/>
    <mergeCell ref="F5:F6"/>
    <mergeCell ref="G5:G6"/>
    <mergeCell ref="B9:D9"/>
    <mergeCell ref="U16:U18"/>
    <mergeCell ref="V16:V18"/>
    <mergeCell ref="W16:W18"/>
    <mergeCell ref="X16:X18"/>
    <mergeCell ref="S3:X3"/>
    <mergeCell ref="AE16:AE18"/>
    <mergeCell ref="C17:E17"/>
    <mergeCell ref="G17:I17"/>
    <mergeCell ref="K17:M17"/>
    <mergeCell ref="N17:N18"/>
    <mergeCell ref="O17:O18"/>
    <mergeCell ref="P17:P18"/>
    <mergeCell ref="Q17:Q18"/>
    <mergeCell ref="Y16:Y18"/>
    <mergeCell ref="Z16:Z18"/>
    <mergeCell ref="AA16:AA18"/>
    <mergeCell ref="AB16:AB18"/>
    <mergeCell ref="AC16:AC18"/>
    <mergeCell ref="AD16:AD18"/>
    <mergeCell ref="S16:S18"/>
    <mergeCell ref="T16:T18"/>
    <mergeCell ref="A37:M37"/>
    <mergeCell ref="A38:M38"/>
    <mergeCell ref="A58:E58"/>
    <mergeCell ref="A64:J64"/>
    <mergeCell ref="A66:I66"/>
  </mergeCells>
  <pageMargins left="0.7" right="0.7" top="0.75" bottom="0.75" header="0.3" footer="0.3"/>
  <pageSetup scale="2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7FA31-C246-4C7A-BDD8-E982D76287A9}">
  <sheetPr>
    <tabColor theme="7" tint="0.79998168889431442"/>
  </sheetPr>
  <dimension ref="A1:M16"/>
  <sheetViews>
    <sheetView view="pageBreakPreview" zoomScale="60" zoomScaleNormal="100" workbookViewId="0">
      <selection activeCell="A16" sqref="A16:K16"/>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C1" s="986"/>
      <c r="J1" s="537" t="s">
        <v>890</v>
      </c>
    </row>
    <row r="2" spans="1:13" ht="33.75" customHeight="1">
      <c r="A2" s="1459" t="s">
        <v>113</v>
      </c>
      <c r="B2" s="1459"/>
      <c r="C2" s="1459"/>
      <c r="D2" s="987"/>
    </row>
    <row r="3" spans="1:13">
      <c r="A3" s="1462" t="s">
        <v>1</v>
      </c>
      <c r="B3" s="1518" t="s">
        <v>794</v>
      </c>
      <c r="C3" s="1518"/>
      <c r="D3" s="987"/>
    </row>
    <row r="4" spans="1:13">
      <c r="A4" s="1463"/>
      <c r="B4" s="988" t="s">
        <v>765</v>
      </c>
      <c r="C4" s="989" t="s">
        <v>766</v>
      </c>
      <c r="D4" s="990"/>
    </row>
    <row r="5" spans="1:13" ht="25.5">
      <c r="A5" s="991" t="s">
        <v>113</v>
      </c>
      <c r="B5" s="992">
        <f>30000*1.21</f>
        <v>36300</v>
      </c>
      <c r="C5" s="503">
        <v>0</v>
      </c>
      <c r="D5" s="990"/>
    </row>
    <row r="6" spans="1:13" ht="59.25" customHeight="1">
      <c r="A6" s="1460" t="s">
        <v>767</v>
      </c>
      <c r="B6" s="1460"/>
      <c r="C6" s="1460"/>
      <c r="D6" s="990"/>
    </row>
    <row r="7" spans="1:13">
      <c r="A7" s="1466"/>
      <c r="B7" s="1466"/>
      <c r="C7" s="1466"/>
    </row>
    <row r="10" spans="1:13">
      <c r="A10" s="1459" t="s">
        <v>113</v>
      </c>
      <c r="B10" s="1459"/>
      <c r="C10" s="1459"/>
      <c r="D10" s="1459"/>
      <c r="E10" s="1459"/>
      <c r="F10" s="1459"/>
      <c r="G10" s="1459"/>
      <c r="H10" s="1459"/>
      <c r="I10" s="1459"/>
      <c r="J10" s="1459"/>
      <c r="K10" s="1459"/>
    </row>
    <row r="11" spans="1:13" ht="63.75">
      <c r="A11" s="993"/>
      <c r="B11" s="994" t="s">
        <v>1</v>
      </c>
      <c r="C11" s="994" t="s">
        <v>2</v>
      </c>
      <c r="D11" s="988" t="s">
        <v>3</v>
      </c>
      <c r="E11" s="988" t="s">
        <v>768</v>
      </c>
      <c r="F11" s="988" t="s">
        <v>769</v>
      </c>
      <c r="G11" s="988" t="s">
        <v>770</v>
      </c>
      <c r="H11" s="988" t="s">
        <v>771</v>
      </c>
      <c r="I11" s="988" t="s">
        <v>772</v>
      </c>
      <c r="J11" s="988" t="s">
        <v>773</v>
      </c>
      <c r="K11" s="988" t="s">
        <v>774</v>
      </c>
    </row>
    <row r="12" spans="1:13">
      <c r="A12" s="1498" t="s">
        <v>776</v>
      </c>
      <c r="B12" s="1498" t="s">
        <v>113</v>
      </c>
      <c r="C12" s="1499"/>
      <c r="D12" s="1499"/>
      <c r="E12" s="994" t="s">
        <v>777</v>
      </c>
      <c r="F12" s="992">
        <v>1</v>
      </c>
      <c r="G12" s="992">
        <v>13950</v>
      </c>
      <c r="H12" s="992">
        <f>F12*G12</f>
        <v>13950</v>
      </c>
      <c r="I12" s="992">
        <v>21</v>
      </c>
      <c r="J12" s="992">
        <f>G12*1.21</f>
        <v>16879.5</v>
      </c>
      <c r="K12" s="992">
        <f>F12*J12</f>
        <v>16879.5</v>
      </c>
      <c r="M12" s="997"/>
    </row>
    <row r="13" spans="1:13">
      <c r="A13" s="1498"/>
      <c r="B13" s="1498"/>
      <c r="C13" s="1499"/>
      <c r="D13" s="1499"/>
      <c r="E13" s="994" t="s">
        <v>778</v>
      </c>
      <c r="F13" s="992">
        <v>1</v>
      </c>
      <c r="G13" s="992">
        <v>13950</v>
      </c>
      <c r="H13" s="992">
        <f t="shared" ref="H13:H14" si="0">F13*G13</f>
        <v>13950</v>
      </c>
      <c r="I13" s="992">
        <v>21</v>
      </c>
      <c r="J13" s="992">
        <f t="shared" ref="J13:J14" si="1">G13*1.21</f>
        <v>16879.5</v>
      </c>
      <c r="K13" s="992">
        <f t="shared" ref="K13:K14" si="2">F13*J13</f>
        <v>16879.5</v>
      </c>
      <c r="M13" s="997"/>
    </row>
    <row r="14" spans="1:13" ht="18.75" customHeight="1">
      <c r="A14" s="1498"/>
      <c r="B14" s="1498"/>
      <c r="C14" s="1499"/>
      <c r="D14" s="1499"/>
      <c r="E14" s="994" t="s">
        <v>779</v>
      </c>
      <c r="F14" s="992">
        <v>3</v>
      </c>
      <c r="G14" s="992">
        <v>700</v>
      </c>
      <c r="H14" s="992">
        <f t="shared" si="0"/>
        <v>2100</v>
      </c>
      <c r="I14" s="992">
        <v>21</v>
      </c>
      <c r="J14" s="992">
        <f t="shared" si="1"/>
        <v>847</v>
      </c>
      <c r="K14" s="992">
        <f t="shared" si="2"/>
        <v>2541</v>
      </c>
      <c r="M14" s="997"/>
    </row>
    <row r="15" spans="1:13">
      <c r="A15" s="502"/>
      <c r="B15" s="502"/>
      <c r="C15" s="502"/>
      <c r="D15" s="502"/>
      <c r="E15" s="502"/>
      <c r="F15" s="502"/>
      <c r="G15" s="502"/>
      <c r="H15" s="998">
        <f>SUM(H12:H14)</f>
        <v>30000</v>
      </c>
      <c r="I15" s="502"/>
      <c r="J15" s="998"/>
      <c r="K15" s="992">
        <f>SUM(K12:K14)</f>
        <v>36300</v>
      </c>
    </row>
    <row r="16" spans="1:13" ht="36.75" customHeight="1">
      <c r="A16" s="1460" t="s">
        <v>767</v>
      </c>
      <c r="B16" s="1460"/>
      <c r="C16" s="1460"/>
      <c r="D16" s="1460"/>
      <c r="E16" s="1460"/>
      <c r="F16" s="1460"/>
      <c r="G16" s="1460"/>
      <c r="H16" s="1460"/>
      <c r="I16" s="1460"/>
      <c r="J16" s="1460"/>
      <c r="K16" s="1460"/>
    </row>
  </sheetData>
  <mergeCells count="11">
    <mergeCell ref="A16:K16"/>
    <mergeCell ref="A2:C2"/>
    <mergeCell ref="A3:A4"/>
    <mergeCell ref="B3:C3"/>
    <mergeCell ref="A6:C6"/>
    <mergeCell ref="A7:C7"/>
    <mergeCell ref="A10:K10"/>
    <mergeCell ref="A12:A14"/>
    <mergeCell ref="B12:B14"/>
    <mergeCell ref="C12:C14"/>
    <mergeCell ref="D12:D14"/>
  </mergeCells>
  <pageMargins left="0.7" right="0.7" top="0.75" bottom="0.75" header="0.3" footer="0.3"/>
  <pageSetup paperSize="9" scale="44"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F827E-E155-4738-A239-7EA71392BCC2}">
  <sheetPr>
    <tabColor theme="7" tint="0.79998168889431442"/>
  </sheetPr>
  <dimension ref="A1:N36"/>
  <sheetViews>
    <sheetView view="pageBreakPreview" zoomScale="60" zoomScaleNormal="100" workbookViewId="0">
      <selection activeCell="E5" sqref="E5"/>
    </sheetView>
  </sheetViews>
  <sheetFormatPr defaultColWidth="9.140625" defaultRowHeight="15"/>
  <cols>
    <col min="1" max="1" width="24.140625" style="51" customWidth="1"/>
    <col min="2" max="2" width="24.28515625" style="51" customWidth="1"/>
    <col min="3" max="3" width="22.7109375" style="51" customWidth="1"/>
    <col min="4" max="4" width="14.42578125" style="51" customWidth="1"/>
    <col min="5" max="5" width="16.7109375" style="51" customWidth="1"/>
    <col min="6" max="6" width="16.5703125" style="51" customWidth="1"/>
    <col min="7" max="7" width="16.140625" style="51" customWidth="1"/>
    <col min="8" max="8" width="18.42578125" style="51" customWidth="1"/>
    <col min="9" max="9" width="11.7109375" style="51" customWidth="1"/>
    <col min="10" max="10" width="10.5703125" style="51" customWidth="1"/>
    <col min="11" max="11" width="18.28515625" style="51" customWidth="1"/>
    <col min="12" max="14" width="20" style="51" customWidth="1"/>
    <col min="15" max="16384" width="9.140625" style="51"/>
  </cols>
  <sheetData>
    <row r="1" spans="1:14">
      <c r="M1" s="537" t="s">
        <v>825</v>
      </c>
    </row>
    <row r="3" spans="1:14" ht="15.75">
      <c r="C3" s="1066" t="s">
        <v>827</v>
      </c>
      <c r="F3" s="53"/>
    </row>
    <row r="5" spans="1:14" ht="105">
      <c r="A5" s="4" t="s">
        <v>200</v>
      </c>
      <c r="B5" s="4" t="s">
        <v>227</v>
      </c>
      <c r="C5" s="5" t="s">
        <v>228</v>
      </c>
      <c r="D5" s="5" t="s">
        <v>229</v>
      </c>
      <c r="E5" s="5" t="s">
        <v>1014</v>
      </c>
    </row>
    <row r="6" spans="1:14" ht="63.75" customHeight="1">
      <c r="A6" s="16" t="s">
        <v>63</v>
      </c>
      <c r="B6" s="295">
        <f>D36</f>
        <v>655668.53</v>
      </c>
      <c r="C6" s="21">
        <f>L18+L19+L20+L21</f>
        <v>2555785.9575</v>
      </c>
      <c r="D6" s="21">
        <f>M18+M19+M20+M21</f>
        <v>2811364.5532500003</v>
      </c>
      <c r="E6" s="21">
        <f>N18+N19+N20+N21</f>
        <v>3066943.1490000002</v>
      </c>
    </row>
    <row r="7" spans="1:14" ht="60">
      <c r="A7" s="16" t="s">
        <v>552</v>
      </c>
      <c r="B7" s="608">
        <v>374176</v>
      </c>
      <c r="C7" s="21">
        <f>L22+F11</f>
        <v>243548.18600000005</v>
      </c>
      <c r="D7" s="21">
        <f>M22+G11</f>
        <v>267903.00460000004</v>
      </c>
      <c r="E7" s="21">
        <f>H11+N22</f>
        <v>292257.82319999998</v>
      </c>
    </row>
    <row r="8" spans="1:14">
      <c r="A8" s="51" t="s">
        <v>553</v>
      </c>
    </row>
    <row r="10" spans="1:14" ht="93">
      <c r="A10" s="149"/>
      <c r="B10" s="150" t="s">
        <v>554</v>
      </c>
      <c r="C10" s="151" t="s">
        <v>555</v>
      </c>
      <c r="D10" s="150" t="s">
        <v>556</v>
      </c>
      <c r="E10" s="150" t="s">
        <v>335</v>
      </c>
      <c r="F10" s="1072" t="s">
        <v>828</v>
      </c>
      <c r="G10" s="1072" t="s">
        <v>829</v>
      </c>
      <c r="H10" s="1072" t="s">
        <v>830</v>
      </c>
    </row>
    <row r="11" spans="1:14">
      <c r="A11" s="152" t="s">
        <v>557</v>
      </c>
      <c r="B11" s="153">
        <v>17.489999999999998</v>
      </c>
      <c r="C11" s="153">
        <v>1</v>
      </c>
      <c r="D11" s="326">
        <f>((98930+337529)*0.1)</f>
        <v>43645.9</v>
      </c>
      <c r="E11" s="155">
        <f>B11*C11*D11</f>
        <v>763366.79099999997</v>
      </c>
      <c r="F11" s="481">
        <f>D11*0.5</f>
        <v>21822.95</v>
      </c>
      <c r="G11" s="609">
        <f>D11*0.55</f>
        <v>24005.245000000003</v>
      </c>
      <c r="H11" s="609">
        <f>D11*0.6</f>
        <v>26187.54</v>
      </c>
    </row>
    <row r="12" spans="1:14" ht="18">
      <c r="A12" s="51" t="s">
        <v>558</v>
      </c>
      <c r="F12" s="610"/>
      <c r="G12" s="610"/>
      <c r="H12" s="610"/>
    </row>
    <row r="13" spans="1:14" ht="18">
      <c r="A13" s="51" t="s">
        <v>559</v>
      </c>
    </row>
    <row r="15" spans="1:14" ht="30" customHeight="1">
      <c r="A15" s="1615" t="s">
        <v>232</v>
      </c>
      <c r="B15" s="1615" t="s">
        <v>231</v>
      </c>
      <c r="C15" s="1615" t="s">
        <v>249</v>
      </c>
      <c r="D15" s="1615" t="s">
        <v>560</v>
      </c>
      <c r="E15" s="1615" t="s">
        <v>561</v>
      </c>
      <c r="F15" s="1526" t="s">
        <v>562</v>
      </c>
      <c r="G15" s="1527"/>
      <c r="H15" s="1527"/>
      <c r="I15" s="1527"/>
      <c r="J15" s="1528"/>
      <c r="K15" s="1615" t="s">
        <v>563</v>
      </c>
      <c r="L15" s="1505" t="s">
        <v>828</v>
      </c>
      <c r="M15" s="1505" t="s">
        <v>829</v>
      </c>
      <c r="N15" s="1505" t="s">
        <v>830</v>
      </c>
    </row>
    <row r="16" spans="1:14" ht="30" customHeight="1">
      <c r="A16" s="1615"/>
      <c r="B16" s="1615"/>
      <c r="C16" s="1615"/>
      <c r="D16" s="1615"/>
      <c r="E16" s="1615"/>
      <c r="F16" s="1615" t="s">
        <v>564</v>
      </c>
      <c r="G16" s="1615"/>
      <c r="H16" s="1615"/>
      <c r="I16" s="1615" t="s">
        <v>378</v>
      </c>
      <c r="J16" s="1615" t="s">
        <v>379</v>
      </c>
      <c r="K16" s="1615"/>
      <c r="L16" s="1507"/>
      <c r="M16" s="1507"/>
      <c r="N16" s="1507"/>
    </row>
    <row r="17" spans="1:14" ht="30" customHeight="1">
      <c r="A17" s="1615"/>
      <c r="B17" s="1615"/>
      <c r="C17" s="1615"/>
      <c r="D17" s="1615"/>
      <c r="E17" s="1615"/>
      <c r="F17" s="150" t="s">
        <v>565</v>
      </c>
      <c r="G17" s="150" t="s">
        <v>566</v>
      </c>
      <c r="H17" s="150" t="s">
        <v>247</v>
      </c>
      <c r="I17" s="1615"/>
      <c r="J17" s="1615"/>
      <c r="K17" s="1615"/>
      <c r="L17" s="1506"/>
      <c r="M17" s="1506"/>
      <c r="N17" s="1506"/>
    </row>
    <row r="18" spans="1:14">
      <c r="A18" s="68">
        <v>41006</v>
      </c>
      <c r="B18" s="69" t="s">
        <v>567</v>
      </c>
      <c r="C18" s="70">
        <v>1.57</v>
      </c>
      <c r="D18" s="71">
        <v>0</v>
      </c>
      <c r="E18" s="72">
        <v>1.5</v>
      </c>
      <c r="F18" s="73">
        <f>H30-C31</f>
        <v>30282</v>
      </c>
      <c r="G18" s="154">
        <f>H31-C34</f>
        <v>190741</v>
      </c>
      <c r="H18" s="154">
        <f>F18+G18</f>
        <v>221023</v>
      </c>
      <c r="I18" s="74">
        <v>0</v>
      </c>
      <c r="J18" s="74">
        <v>0</v>
      </c>
      <c r="K18" s="74">
        <f>(C18+D18)*(H18+I18+J18)*E18</f>
        <v>520509.16499999998</v>
      </c>
      <c r="L18" s="156">
        <f>$K$18/2</f>
        <v>260254.58249999999</v>
      </c>
      <c r="M18" s="156">
        <f>$K$18*0.55</f>
        <v>286280.04074999999</v>
      </c>
      <c r="N18" s="156">
        <f>$K$18*0.6</f>
        <v>312305.49899999995</v>
      </c>
    </row>
    <row r="19" spans="1:14" ht="15" customHeight="1">
      <c r="A19" s="153">
        <v>41101</v>
      </c>
      <c r="B19" s="157" t="s">
        <v>568</v>
      </c>
      <c r="C19" s="153">
        <v>4.59</v>
      </c>
      <c r="D19" s="158">
        <v>0</v>
      </c>
      <c r="E19" s="153">
        <v>1.5</v>
      </c>
      <c r="F19" s="73">
        <f>H30-C32</f>
        <v>57937</v>
      </c>
      <c r="G19" s="154">
        <f>H31-C35</f>
        <v>327155</v>
      </c>
      <c r="H19" s="154">
        <f t="shared" ref="H19:H22" si="0">F19+G19</f>
        <v>385092</v>
      </c>
      <c r="I19" s="74">
        <v>0</v>
      </c>
      <c r="J19" s="74">
        <v>0</v>
      </c>
      <c r="K19" s="74">
        <f t="shared" ref="K19:K22" si="1">(C19+D19)*(H19+I19+J19)*E19</f>
        <v>2651358.42</v>
      </c>
      <c r="L19" s="156">
        <f>$K$19/2</f>
        <v>1325679.21</v>
      </c>
      <c r="M19" s="156">
        <f>$K$19*0.55</f>
        <v>1458247.1310000001</v>
      </c>
      <c r="N19" s="156">
        <f>$K$19*0.6</f>
        <v>1590815.0519999999</v>
      </c>
    </row>
    <row r="20" spans="1:14" ht="30">
      <c r="A20" s="153">
        <v>40150</v>
      </c>
      <c r="B20" s="157" t="s">
        <v>569</v>
      </c>
      <c r="C20" s="153">
        <v>2.38</v>
      </c>
      <c r="D20" s="158">
        <v>0</v>
      </c>
      <c r="E20" s="153">
        <v>1.5</v>
      </c>
      <c r="F20" s="73">
        <f>H30-C30</f>
        <v>84139</v>
      </c>
      <c r="G20" s="154">
        <f>H31-C33</f>
        <v>318038</v>
      </c>
      <c r="H20" s="154">
        <f t="shared" si="0"/>
        <v>402177</v>
      </c>
      <c r="I20" s="74">
        <v>0</v>
      </c>
      <c r="J20" s="74">
        <v>0</v>
      </c>
      <c r="K20" s="74">
        <f t="shared" si="1"/>
        <v>1435771.8900000001</v>
      </c>
      <c r="L20" s="156">
        <f>$K$20/2</f>
        <v>717885.94500000007</v>
      </c>
      <c r="M20" s="156">
        <f>$K$20*0.55</f>
        <v>789674.53950000019</v>
      </c>
      <c r="N20" s="156">
        <f>$K$20*0.6</f>
        <v>861463.13400000008</v>
      </c>
    </row>
    <row r="21" spans="1:14" ht="30">
      <c r="A21" s="153">
        <v>40003</v>
      </c>
      <c r="B21" s="159" t="s">
        <v>570</v>
      </c>
      <c r="C21" s="153">
        <v>1.52</v>
      </c>
      <c r="D21" s="158">
        <v>0</v>
      </c>
      <c r="E21" s="153">
        <v>1.5</v>
      </c>
      <c r="F21" s="73">
        <f>F18</f>
        <v>30282</v>
      </c>
      <c r="G21" s="154">
        <f>G18</f>
        <v>190741</v>
      </c>
      <c r="H21" s="154">
        <f t="shared" si="0"/>
        <v>221023</v>
      </c>
      <c r="I21" s="74">
        <v>0</v>
      </c>
      <c r="J21" s="74">
        <v>0</v>
      </c>
      <c r="K21" s="74">
        <f t="shared" si="1"/>
        <v>503932.44000000006</v>
      </c>
      <c r="L21" s="156">
        <f>$K$21/2</f>
        <v>251966.22000000003</v>
      </c>
      <c r="M21" s="156">
        <f>$K$21*0.55</f>
        <v>277162.84200000006</v>
      </c>
      <c r="N21" s="156">
        <f>$K$21*0.6</f>
        <v>302359.46400000004</v>
      </c>
    </row>
    <row r="22" spans="1:14" ht="30">
      <c r="A22" s="153">
        <v>50696</v>
      </c>
      <c r="B22" s="157" t="s">
        <v>571</v>
      </c>
      <c r="C22" s="153">
        <v>6.16</v>
      </c>
      <c r="D22" s="160">
        <v>4</v>
      </c>
      <c r="E22" s="153">
        <v>1</v>
      </c>
      <c r="F22" s="73">
        <f>H30*0.1</f>
        <v>9893.8000000000011</v>
      </c>
      <c r="G22" s="154">
        <f>H31*0.1</f>
        <v>33752.9</v>
      </c>
      <c r="H22" s="154">
        <f t="shared" si="0"/>
        <v>43646.700000000004</v>
      </c>
      <c r="I22" s="74">
        <v>0</v>
      </c>
      <c r="J22" s="74">
        <v>0</v>
      </c>
      <c r="K22" s="74">
        <f t="shared" si="1"/>
        <v>443450.47200000007</v>
      </c>
      <c r="L22" s="156">
        <f>$K$22/2</f>
        <v>221725.23600000003</v>
      </c>
      <c r="M22" s="156">
        <f>$K$22*0.55</f>
        <v>243897.75960000005</v>
      </c>
      <c r="N22" s="156">
        <f>$K$22*0.6</f>
        <v>266070.28320000001</v>
      </c>
    </row>
    <row r="23" spans="1:14" ht="15" customHeight="1">
      <c r="A23" s="161"/>
      <c r="B23" s="162"/>
      <c r="K23" s="163">
        <f>SUM(K18:K22)</f>
        <v>5555022.3870000001</v>
      </c>
      <c r="L23" s="156">
        <f>SUM(L18:L22)</f>
        <v>2777511.1935000001</v>
      </c>
      <c r="M23" s="156">
        <f>SUM(M18:M22)</f>
        <v>3055262.3128500003</v>
      </c>
      <c r="N23" s="156">
        <f>SUM(N18:N22)</f>
        <v>3333013.4322000002</v>
      </c>
    </row>
    <row r="24" spans="1:14" ht="18">
      <c r="A24" s="162" t="s">
        <v>572</v>
      </c>
      <c r="B24" s="162"/>
    </row>
    <row r="25" spans="1:14" ht="18">
      <c r="A25" s="162" t="s">
        <v>573</v>
      </c>
      <c r="B25" s="162"/>
    </row>
    <row r="26" spans="1:14" ht="18">
      <c r="A26" s="162" t="s">
        <v>574</v>
      </c>
      <c r="B26" s="162"/>
    </row>
    <row r="27" spans="1:14" ht="18">
      <c r="A27" s="162" t="s">
        <v>575</v>
      </c>
      <c r="B27" s="162"/>
    </row>
    <row r="28" spans="1:14">
      <c r="A28" s="161"/>
      <c r="B28" s="162"/>
    </row>
    <row r="29" spans="1:14" ht="18">
      <c r="A29" s="164" t="s">
        <v>576</v>
      </c>
      <c r="B29" s="165" t="s">
        <v>577</v>
      </c>
      <c r="C29" s="166" t="s">
        <v>578</v>
      </c>
      <c r="D29" s="293" t="s">
        <v>227</v>
      </c>
      <c r="G29" s="149" t="s">
        <v>576</v>
      </c>
      <c r="H29" s="149" t="s">
        <v>579</v>
      </c>
    </row>
    <row r="30" spans="1:14">
      <c r="A30" s="167" t="s">
        <v>580</v>
      </c>
      <c r="B30" s="153">
        <v>40150</v>
      </c>
      <c r="C30" s="251">
        <v>14799</v>
      </c>
      <c r="D30" s="294">
        <f>C30*C20</f>
        <v>35221.619999999995</v>
      </c>
      <c r="G30" s="152" t="s">
        <v>580</v>
      </c>
      <c r="H30" s="163">
        <v>98938</v>
      </c>
    </row>
    <row r="31" spans="1:14">
      <c r="A31" s="167" t="s">
        <v>580</v>
      </c>
      <c r="B31" s="153">
        <v>41006</v>
      </c>
      <c r="C31" s="251">
        <v>68656</v>
      </c>
      <c r="D31" s="294">
        <f>C31*C18</f>
        <v>107789.92</v>
      </c>
      <c r="G31" s="152" t="s">
        <v>581</v>
      </c>
      <c r="H31" s="163">
        <v>337529</v>
      </c>
    </row>
    <row r="32" spans="1:14" ht="18">
      <c r="A32" s="167" t="s">
        <v>580</v>
      </c>
      <c r="B32" s="153">
        <v>41101</v>
      </c>
      <c r="C32" s="251">
        <v>41001</v>
      </c>
      <c r="D32" s="294">
        <f>C32*C19</f>
        <v>188194.59</v>
      </c>
      <c r="G32" s="162" t="s">
        <v>582</v>
      </c>
    </row>
    <row r="33" spans="1:4">
      <c r="A33" s="167" t="s">
        <v>581</v>
      </c>
      <c r="B33" s="153">
        <v>40150</v>
      </c>
      <c r="C33" s="251">
        <v>19491</v>
      </c>
      <c r="D33" s="294">
        <f>C33*C20</f>
        <v>46388.579999999994</v>
      </c>
    </row>
    <row r="34" spans="1:4">
      <c r="A34" s="167" t="s">
        <v>581</v>
      </c>
      <c r="B34" s="153">
        <v>41006</v>
      </c>
      <c r="C34" s="251">
        <v>146788</v>
      </c>
      <c r="D34" s="294">
        <f>C34*C18</f>
        <v>230457.16</v>
      </c>
    </row>
    <row r="35" spans="1:4">
      <c r="A35" s="167" t="s">
        <v>581</v>
      </c>
      <c r="B35" s="153">
        <v>41101</v>
      </c>
      <c r="C35" s="251">
        <v>10374</v>
      </c>
      <c r="D35" s="294">
        <f>C35*C19</f>
        <v>47616.659999999996</v>
      </c>
    </row>
    <row r="36" spans="1:4" ht="18">
      <c r="A36" s="162" t="s">
        <v>583</v>
      </c>
      <c r="D36" s="294">
        <f>SUM(D30:D35)</f>
        <v>655668.53</v>
      </c>
    </row>
  </sheetData>
  <mergeCells count="13">
    <mergeCell ref="M15:M17"/>
    <mergeCell ref="N15:N17"/>
    <mergeCell ref="J16:J17"/>
    <mergeCell ref="K15:K17"/>
    <mergeCell ref="L15:L17"/>
    <mergeCell ref="F15:J15"/>
    <mergeCell ref="I16:I17"/>
    <mergeCell ref="F16:H16"/>
    <mergeCell ref="A15:A17"/>
    <mergeCell ref="B15:B17"/>
    <mergeCell ref="C15:C17"/>
    <mergeCell ref="D15:D17"/>
    <mergeCell ref="E15:E17"/>
  </mergeCells>
  <pageMargins left="0.7" right="0.7" top="0.75" bottom="0.75" header="0.3" footer="0.3"/>
  <pageSetup paperSize="9" scale="33"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592F8-C31E-46EF-9B24-B8548C341414}">
  <sheetPr>
    <tabColor theme="7" tint="0.79998168889431442"/>
  </sheetPr>
  <dimension ref="A1:M16"/>
  <sheetViews>
    <sheetView view="pageBreakPreview" zoomScale="60" zoomScaleNormal="100" workbookViewId="0">
      <selection activeCell="M18" sqref="M18"/>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C1" s="986"/>
      <c r="J1" s="168" t="s">
        <v>826</v>
      </c>
    </row>
    <row r="2" spans="1:13" ht="33.75" customHeight="1">
      <c r="A2" s="1459" t="s">
        <v>784</v>
      </c>
      <c r="B2" s="1459"/>
      <c r="C2" s="1459"/>
      <c r="D2" s="987"/>
    </row>
    <row r="3" spans="1:13">
      <c r="A3" s="1462" t="s">
        <v>1</v>
      </c>
      <c r="B3" s="1518" t="s">
        <v>794</v>
      </c>
      <c r="C3" s="1518"/>
      <c r="D3" s="987"/>
    </row>
    <row r="4" spans="1:13">
      <c r="A4" s="1463"/>
      <c r="B4" s="988" t="s">
        <v>765</v>
      </c>
      <c r="C4" s="989" t="s">
        <v>766</v>
      </c>
      <c r="D4" s="990"/>
    </row>
    <row r="5" spans="1:13" ht="51">
      <c r="A5" s="991" t="s">
        <v>785</v>
      </c>
      <c r="B5" s="992">
        <v>0</v>
      </c>
      <c r="C5" s="992">
        <f>30000*1.21</f>
        <v>36300</v>
      </c>
      <c r="D5" s="990"/>
    </row>
    <row r="6" spans="1:13" ht="59.25" customHeight="1">
      <c r="A6" s="1460" t="s">
        <v>767</v>
      </c>
      <c r="B6" s="1460"/>
      <c r="C6" s="1460"/>
      <c r="D6" s="990"/>
    </row>
    <row r="7" spans="1:13">
      <c r="A7" s="1466"/>
      <c r="B7" s="1466"/>
      <c r="C7" s="1466"/>
    </row>
    <row r="10" spans="1:13">
      <c r="A10" s="1459" t="s">
        <v>784</v>
      </c>
      <c r="B10" s="1459"/>
      <c r="C10" s="1459"/>
      <c r="D10" s="1459"/>
      <c r="E10" s="1459"/>
      <c r="F10" s="1459"/>
      <c r="G10" s="1459"/>
      <c r="H10" s="1459"/>
      <c r="I10" s="1459"/>
      <c r="J10" s="1459"/>
      <c r="K10" s="1459"/>
    </row>
    <row r="11" spans="1:13" ht="63.75">
      <c r="A11" s="993"/>
      <c r="B11" s="994" t="s">
        <v>1</v>
      </c>
      <c r="C11" s="994" t="s">
        <v>2</v>
      </c>
      <c r="D11" s="988" t="s">
        <v>3</v>
      </c>
      <c r="E11" s="988" t="s">
        <v>768</v>
      </c>
      <c r="F11" s="988" t="s">
        <v>769</v>
      </c>
      <c r="G11" s="988" t="s">
        <v>770</v>
      </c>
      <c r="H11" s="988" t="s">
        <v>771</v>
      </c>
      <c r="I11" s="988" t="s">
        <v>772</v>
      </c>
      <c r="J11" s="988" t="s">
        <v>773</v>
      </c>
      <c r="K11" s="988" t="s">
        <v>774</v>
      </c>
    </row>
    <row r="12" spans="1:13">
      <c r="A12" s="1498" t="s">
        <v>776</v>
      </c>
      <c r="B12" s="1498" t="s">
        <v>785</v>
      </c>
      <c r="C12" s="1499"/>
      <c r="D12" s="1499"/>
      <c r="E12" s="994" t="s">
        <v>777</v>
      </c>
      <c r="F12" s="992">
        <v>1</v>
      </c>
      <c r="G12" s="992">
        <v>13950</v>
      </c>
      <c r="H12" s="992">
        <f>F12*G12</f>
        <v>13950</v>
      </c>
      <c r="I12" s="992">
        <v>21</v>
      </c>
      <c r="J12" s="992">
        <f>G12*1.21</f>
        <v>16879.5</v>
      </c>
      <c r="K12" s="992">
        <f>F12*J12</f>
        <v>16879.5</v>
      </c>
      <c r="M12" s="997"/>
    </row>
    <row r="13" spans="1:13">
      <c r="A13" s="1498"/>
      <c r="B13" s="1498"/>
      <c r="C13" s="1499"/>
      <c r="D13" s="1499"/>
      <c r="E13" s="994" t="s">
        <v>778</v>
      </c>
      <c r="F13" s="992">
        <v>1</v>
      </c>
      <c r="G13" s="992">
        <v>13950</v>
      </c>
      <c r="H13" s="992">
        <f t="shared" ref="H13:H14" si="0">F13*G13</f>
        <v>13950</v>
      </c>
      <c r="I13" s="992">
        <v>21</v>
      </c>
      <c r="J13" s="992">
        <f t="shared" ref="J13:J14" si="1">G13*1.21</f>
        <v>16879.5</v>
      </c>
      <c r="K13" s="992">
        <f t="shared" ref="K13:K14" si="2">F13*J13</f>
        <v>16879.5</v>
      </c>
      <c r="M13" s="997"/>
    </row>
    <row r="14" spans="1:13" ht="63.75" customHeight="1">
      <c r="A14" s="1498"/>
      <c r="B14" s="1498"/>
      <c r="C14" s="1499"/>
      <c r="D14" s="1499"/>
      <c r="E14" s="994" t="s">
        <v>779</v>
      </c>
      <c r="F14" s="992">
        <v>3</v>
      </c>
      <c r="G14" s="992">
        <v>700</v>
      </c>
      <c r="H14" s="992">
        <f t="shared" si="0"/>
        <v>2100</v>
      </c>
      <c r="I14" s="992">
        <v>21</v>
      </c>
      <c r="J14" s="992">
        <f t="shared" si="1"/>
        <v>847</v>
      </c>
      <c r="K14" s="992">
        <f t="shared" si="2"/>
        <v>2541</v>
      </c>
      <c r="M14" s="997"/>
    </row>
    <row r="15" spans="1:13">
      <c r="A15" s="502"/>
      <c r="B15" s="502"/>
      <c r="C15" s="502"/>
      <c r="D15" s="502"/>
      <c r="E15" s="502"/>
      <c r="F15" s="502"/>
      <c r="G15" s="502"/>
      <c r="H15" s="998">
        <f>SUM(H12:H14)</f>
        <v>30000</v>
      </c>
      <c r="I15" s="502"/>
      <c r="J15" s="998"/>
      <c r="K15" s="992">
        <f>SUM(K12:K14)</f>
        <v>36300</v>
      </c>
    </row>
    <row r="16" spans="1:13" ht="36.75" customHeight="1">
      <c r="A16" s="1460" t="s">
        <v>767</v>
      </c>
      <c r="B16" s="1460"/>
      <c r="C16" s="1460"/>
      <c r="D16" s="1460"/>
      <c r="E16" s="1460"/>
      <c r="F16" s="1460"/>
      <c r="G16" s="1460"/>
      <c r="H16" s="1460"/>
      <c r="I16" s="1460"/>
      <c r="J16" s="1460"/>
      <c r="K16" s="1460"/>
    </row>
  </sheetData>
  <mergeCells count="11">
    <mergeCell ref="A16:K16"/>
    <mergeCell ref="A2:C2"/>
    <mergeCell ref="A3:A4"/>
    <mergeCell ref="B3:C3"/>
    <mergeCell ref="A6:C6"/>
    <mergeCell ref="A7:C7"/>
    <mergeCell ref="A10:K10"/>
    <mergeCell ref="A12:A14"/>
    <mergeCell ref="B12:B14"/>
    <mergeCell ref="C12:C14"/>
    <mergeCell ref="D12:D14"/>
  </mergeCells>
  <pageMargins left="0.7" right="0.7" top="0.75" bottom="0.75" header="0.3" footer="0.3"/>
  <pageSetup paperSize="9" scale="46"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ECCE3-C1EF-4ABA-99F0-DEC3E21A6273}">
  <sheetPr>
    <tabColor theme="7" tint="0.79998168889431442"/>
  </sheetPr>
  <dimension ref="A1:K26"/>
  <sheetViews>
    <sheetView view="pageBreakPreview" zoomScale="60" zoomScaleNormal="100" workbookViewId="0">
      <selection activeCell="B22" sqref="B22"/>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1">
      <c r="B1" s="986"/>
      <c r="C1" s="986"/>
      <c r="J1" s="168" t="s">
        <v>899</v>
      </c>
    </row>
    <row r="2" spans="1:11" ht="33.75" customHeight="1">
      <c r="A2" s="1459" t="s">
        <v>121</v>
      </c>
      <c r="B2" s="1459"/>
      <c r="C2" s="1459"/>
      <c r="D2" s="987"/>
    </row>
    <row r="3" spans="1:11">
      <c r="A3" s="1462" t="s">
        <v>1</v>
      </c>
      <c r="B3" s="1518" t="s">
        <v>794</v>
      </c>
      <c r="C3" s="1518"/>
      <c r="D3" s="987"/>
    </row>
    <row r="4" spans="1:11">
      <c r="A4" s="1463"/>
      <c r="B4" s="988" t="s">
        <v>765</v>
      </c>
      <c r="C4" s="989" t="s">
        <v>766</v>
      </c>
      <c r="D4" s="990"/>
    </row>
    <row r="5" spans="1:11" ht="38.25">
      <c r="A5" s="991" t="s">
        <v>121</v>
      </c>
      <c r="B5" s="992">
        <v>0</v>
      </c>
      <c r="C5" s="992">
        <f>27900*1.21</f>
        <v>33759</v>
      </c>
      <c r="D5" s="990"/>
    </row>
    <row r="6" spans="1:11" ht="59.25" customHeight="1">
      <c r="A6" s="1460" t="s">
        <v>767</v>
      </c>
      <c r="B6" s="1460"/>
      <c r="C6" s="1460"/>
      <c r="D6" s="990"/>
    </row>
    <row r="9" spans="1:11">
      <c r="A9" s="1459" t="s">
        <v>121</v>
      </c>
      <c r="B9" s="1459"/>
      <c r="C9" s="1459"/>
      <c r="D9" s="1459"/>
      <c r="E9" s="1459"/>
      <c r="F9" s="1459"/>
      <c r="G9" s="1459"/>
      <c r="H9" s="1459"/>
      <c r="I9" s="1459"/>
      <c r="J9" s="1459"/>
      <c r="K9" s="1459"/>
    </row>
    <row r="10" spans="1:11" ht="63.75">
      <c r="A10" s="993"/>
      <c r="B10" s="994" t="s">
        <v>1</v>
      </c>
      <c r="C10" s="994" t="s">
        <v>2</v>
      </c>
      <c r="D10" s="988" t="s">
        <v>3</v>
      </c>
      <c r="E10" s="988" t="s">
        <v>768</v>
      </c>
      <c r="F10" s="988" t="s">
        <v>769</v>
      </c>
      <c r="G10" s="988" t="s">
        <v>770</v>
      </c>
      <c r="H10" s="988" t="s">
        <v>771</v>
      </c>
      <c r="I10" s="988" t="s">
        <v>772</v>
      </c>
      <c r="J10" s="988" t="s">
        <v>773</v>
      </c>
      <c r="K10" s="988" t="s">
        <v>774</v>
      </c>
    </row>
    <row r="11" spans="1:11">
      <c r="A11" s="1519" t="s">
        <v>776</v>
      </c>
      <c r="B11" s="1519" t="s">
        <v>780</v>
      </c>
      <c r="C11" s="1521"/>
      <c r="D11" s="1521"/>
      <c r="E11" s="994" t="s">
        <v>777</v>
      </c>
      <c r="F11" s="992">
        <v>1</v>
      </c>
      <c r="G11" s="992">
        <v>13950</v>
      </c>
      <c r="H11" s="992">
        <f>F11*G11</f>
        <v>13950</v>
      </c>
      <c r="I11" s="992">
        <v>21</v>
      </c>
      <c r="J11" s="992">
        <f>G11*1.21</f>
        <v>16879.5</v>
      </c>
      <c r="K11" s="992">
        <f>F11*J11</f>
        <v>16879.5</v>
      </c>
    </row>
    <row r="12" spans="1:11">
      <c r="A12" s="1520"/>
      <c r="B12" s="1520"/>
      <c r="C12" s="1522"/>
      <c r="D12" s="1522"/>
      <c r="E12" s="994" t="s">
        <v>778</v>
      </c>
      <c r="F12" s="992">
        <v>1</v>
      </c>
      <c r="G12" s="992">
        <v>13950</v>
      </c>
      <c r="H12" s="992">
        <f t="shared" ref="H12" si="0">F12*G12</f>
        <v>13950</v>
      </c>
      <c r="I12" s="992">
        <v>21</v>
      </c>
      <c r="J12" s="992">
        <f t="shared" ref="J12" si="1">G12*1.21</f>
        <v>16879.5</v>
      </c>
      <c r="K12" s="992">
        <f t="shared" ref="K12" si="2">F12*J12</f>
        <v>16879.5</v>
      </c>
    </row>
    <row r="13" spans="1:11">
      <c r="A13" s="502"/>
      <c r="B13" s="502"/>
      <c r="C13" s="502"/>
      <c r="D13" s="502"/>
      <c r="E13" s="502"/>
      <c r="F13" s="502"/>
      <c r="G13" s="502"/>
      <c r="H13" s="998">
        <f>SUM(H11:H12)</f>
        <v>27900</v>
      </c>
      <c r="I13" s="502"/>
      <c r="J13" s="998"/>
      <c r="K13" s="992">
        <f>SUM(K11:K12)</f>
        <v>33759</v>
      </c>
    </row>
    <row r="14" spans="1:11" ht="36.75" customHeight="1">
      <c r="A14" s="1460" t="s">
        <v>767</v>
      </c>
      <c r="B14" s="1460"/>
      <c r="C14" s="1460"/>
      <c r="D14" s="1460"/>
      <c r="E14" s="1460"/>
      <c r="F14" s="1460"/>
      <c r="G14" s="1460"/>
      <c r="H14" s="1460"/>
      <c r="I14" s="1460"/>
      <c r="J14" s="1460"/>
      <c r="K14" s="1460"/>
    </row>
    <row r="26" spans="2:2">
      <c r="B26" s="168" t="s">
        <v>786</v>
      </c>
    </row>
  </sheetData>
  <mergeCells count="10">
    <mergeCell ref="A14:K14"/>
    <mergeCell ref="A2:C2"/>
    <mergeCell ref="A3:A4"/>
    <mergeCell ref="B3:C3"/>
    <mergeCell ref="A6:C6"/>
    <mergeCell ref="A9:K9"/>
    <mergeCell ref="A11:A12"/>
    <mergeCell ref="B11:B12"/>
    <mergeCell ref="C11:C12"/>
    <mergeCell ref="D11:D12"/>
  </mergeCells>
  <pageMargins left="0.7" right="0.7" top="0.75" bottom="0.75" header="0.3" footer="0.3"/>
  <pageSetup paperSize="9" scale="44"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0A613-B0AB-4730-8364-C79731119D8B}">
  <sheetPr>
    <tabColor theme="7" tint="0.79998168889431442"/>
  </sheetPr>
  <dimension ref="A1:M13"/>
  <sheetViews>
    <sheetView view="pageBreakPreview" zoomScale="60" zoomScaleNormal="100" workbookViewId="0">
      <selection activeCell="B3" sqref="B3:C3"/>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5" width="10" style="168" customWidth="1"/>
    <col min="6" max="16384" width="9.140625" style="168"/>
  </cols>
  <sheetData>
    <row r="1" spans="1:13">
      <c r="B1" s="986"/>
      <c r="C1" s="986"/>
      <c r="J1" s="168" t="s">
        <v>831</v>
      </c>
    </row>
    <row r="2" spans="1:13" ht="35.25" customHeight="1">
      <c r="A2" s="1459" t="s">
        <v>788</v>
      </c>
      <c r="B2" s="1459"/>
      <c r="C2" s="1459"/>
      <c r="D2" s="987"/>
    </row>
    <row r="3" spans="1:13">
      <c r="A3" s="1462" t="s">
        <v>1</v>
      </c>
      <c r="B3" s="1518" t="s">
        <v>794</v>
      </c>
      <c r="C3" s="1518"/>
      <c r="D3" s="987"/>
    </row>
    <row r="4" spans="1:13">
      <c r="A4" s="1463"/>
      <c r="B4" s="988" t="s">
        <v>765</v>
      </c>
      <c r="C4" s="989" t="s">
        <v>766</v>
      </c>
      <c r="D4" s="990"/>
    </row>
    <row r="5" spans="1:13" ht="25.5">
      <c r="A5" s="991" t="s">
        <v>789</v>
      </c>
      <c r="B5" s="992">
        <f>15000*1.21</f>
        <v>18150</v>
      </c>
      <c r="C5" s="503">
        <v>0</v>
      </c>
      <c r="D5" s="990"/>
    </row>
    <row r="6" spans="1:13" ht="59.25" customHeight="1">
      <c r="A6" s="1460" t="s">
        <v>767</v>
      </c>
      <c r="B6" s="1460"/>
      <c r="C6" s="1460"/>
      <c r="D6" s="990"/>
    </row>
    <row r="7" spans="1:13">
      <c r="A7" s="1466"/>
      <c r="B7" s="1466"/>
      <c r="C7" s="1466"/>
    </row>
    <row r="9" spans="1:13">
      <c r="A9" s="1459" t="s">
        <v>788</v>
      </c>
      <c r="B9" s="1459"/>
      <c r="C9" s="1459"/>
      <c r="D9" s="1459"/>
      <c r="E9" s="1459"/>
      <c r="F9" s="1459"/>
      <c r="G9" s="1459"/>
      <c r="H9" s="1459"/>
      <c r="I9" s="1459"/>
      <c r="J9" s="1459"/>
      <c r="K9" s="1459"/>
    </row>
    <row r="10" spans="1:13" ht="63.75">
      <c r="A10" s="993"/>
      <c r="B10" s="994" t="s">
        <v>1</v>
      </c>
      <c r="C10" s="994" t="s">
        <v>2</v>
      </c>
      <c r="D10" s="988" t="s">
        <v>3</v>
      </c>
      <c r="E10" s="988" t="s">
        <v>768</v>
      </c>
      <c r="F10" s="988" t="s">
        <v>769</v>
      </c>
      <c r="G10" s="988" t="s">
        <v>770</v>
      </c>
      <c r="H10" s="988" t="s">
        <v>771</v>
      </c>
      <c r="I10" s="988" t="s">
        <v>772</v>
      </c>
      <c r="J10" s="988" t="s">
        <v>773</v>
      </c>
      <c r="K10" s="988" t="s">
        <v>774</v>
      </c>
    </row>
    <row r="11" spans="1:13" ht="59.25" customHeight="1">
      <c r="A11" s="995" t="s">
        <v>790</v>
      </c>
      <c r="B11" s="991" t="s">
        <v>789</v>
      </c>
      <c r="C11" s="996"/>
      <c r="D11" s="996"/>
      <c r="E11" s="988" t="s">
        <v>790</v>
      </c>
      <c r="F11" s="992">
        <v>1</v>
      </c>
      <c r="G11" s="992">
        <v>15000</v>
      </c>
      <c r="H11" s="992">
        <f>F11*G11</f>
        <v>15000</v>
      </c>
      <c r="I11" s="992">
        <v>21</v>
      </c>
      <c r="J11" s="992">
        <f>G11*1.21</f>
        <v>18150</v>
      </c>
      <c r="K11" s="992">
        <f>F11*J11</f>
        <v>18150</v>
      </c>
      <c r="M11" s="997"/>
    </row>
    <row r="12" spans="1:13">
      <c r="A12" s="502"/>
      <c r="B12" s="502"/>
      <c r="C12" s="502"/>
      <c r="D12" s="502"/>
      <c r="E12" s="502"/>
      <c r="F12" s="502"/>
      <c r="G12" s="502"/>
      <c r="H12" s="998">
        <f>SUM(H11:H11)</f>
        <v>15000</v>
      </c>
      <c r="I12" s="502"/>
      <c r="J12" s="998"/>
      <c r="K12" s="992">
        <f>SUM(K11:K11)</f>
        <v>18150</v>
      </c>
    </row>
    <row r="13" spans="1:13" ht="36.75" customHeight="1">
      <c r="A13" s="1460" t="s">
        <v>767</v>
      </c>
      <c r="B13" s="1460"/>
      <c r="C13" s="1460"/>
      <c r="D13" s="1460"/>
      <c r="E13" s="1460"/>
      <c r="F13" s="1460"/>
      <c r="G13" s="1460"/>
      <c r="H13" s="1460"/>
      <c r="I13" s="1460"/>
      <c r="J13" s="1460"/>
      <c r="K13" s="1460"/>
    </row>
  </sheetData>
  <mergeCells count="7">
    <mergeCell ref="A9:K9"/>
    <mergeCell ref="A13:K13"/>
    <mergeCell ref="A2:C2"/>
    <mergeCell ref="A3:A4"/>
    <mergeCell ref="B3:C3"/>
    <mergeCell ref="A6:C6"/>
    <mergeCell ref="A7:C7"/>
  </mergeCells>
  <pageMargins left="0.7" right="0.7" top="0.75" bottom="0.75" header="0.3" footer="0.3"/>
  <pageSetup paperSize="9" scale="44"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4D299-2731-4A36-9D0A-52CB2136DC63}">
  <sheetPr>
    <tabColor theme="7" tint="0.79998168889431442"/>
  </sheetPr>
  <dimension ref="A1:P27"/>
  <sheetViews>
    <sheetView view="pageBreakPreview" topLeftCell="A4" zoomScale="60" zoomScaleNormal="70" workbookViewId="0">
      <selection activeCell="J17" sqref="J17"/>
    </sheetView>
  </sheetViews>
  <sheetFormatPr defaultColWidth="8.85546875" defaultRowHeight="15.75"/>
  <cols>
    <col min="1" max="1" width="8.85546875" style="67"/>
    <col min="2" max="2" width="36.85546875" style="67" customWidth="1"/>
    <col min="3" max="3" width="23" style="67" customWidth="1"/>
    <col min="4" max="4" width="14.85546875" style="67" customWidth="1"/>
    <col min="5" max="5" width="18.85546875" style="67" customWidth="1"/>
    <col min="6" max="6" width="13.85546875" style="67" customWidth="1"/>
    <col min="7" max="7" width="10.85546875" style="67" customWidth="1"/>
    <col min="8" max="9" width="11.28515625" style="67" customWidth="1"/>
    <col min="10" max="10" width="12.5703125" style="67" customWidth="1"/>
    <col min="11" max="11" width="13.140625" style="67" customWidth="1"/>
    <col min="12" max="12" width="16.140625" style="67" customWidth="1"/>
    <col min="13" max="13" width="46" style="67" customWidth="1"/>
    <col min="14" max="16384" width="8.85546875" style="67"/>
  </cols>
  <sheetData>
    <row r="1" spans="1:16">
      <c r="M1" s="296" t="s">
        <v>832</v>
      </c>
    </row>
    <row r="2" spans="1:16" ht="51" customHeight="1">
      <c r="B2" s="1616" t="s">
        <v>835</v>
      </c>
      <c r="C2" s="1616"/>
      <c r="D2" s="1616"/>
      <c r="E2" s="1616"/>
      <c r="F2" s="1616"/>
      <c r="G2" s="1616"/>
      <c r="H2" s="1616"/>
      <c r="I2" s="1616"/>
      <c r="J2" s="1616"/>
      <c r="K2" s="1616"/>
      <c r="L2" s="1616"/>
    </row>
    <row r="4" spans="1:16">
      <c r="A4" s="1607" t="s">
        <v>200</v>
      </c>
      <c r="B4" s="1607"/>
      <c r="C4" s="1626" t="s">
        <v>227</v>
      </c>
      <c r="D4" s="1626"/>
      <c r="E4" s="1607" t="s">
        <v>465</v>
      </c>
      <c r="F4" s="1607" t="s">
        <v>466</v>
      </c>
      <c r="G4" s="1607" t="s">
        <v>467</v>
      </c>
      <c r="H4" s="1607"/>
      <c r="I4" s="1607" t="s">
        <v>1016</v>
      </c>
      <c r="J4" s="1607"/>
    </row>
    <row r="5" spans="1:16" ht="145.15" customHeight="1">
      <c r="A5" s="1607"/>
      <c r="B5" s="1607"/>
      <c r="C5" s="179" t="s">
        <v>11</v>
      </c>
      <c r="D5" s="179" t="s">
        <v>468</v>
      </c>
      <c r="E5" s="1607"/>
      <c r="F5" s="1607"/>
      <c r="G5" s="1607"/>
      <c r="H5" s="1607"/>
      <c r="I5" s="1607"/>
      <c r="J5" s="1607"/>
    </row>
    <row r="6" spans="1:16" ht="26.25" customHeight="1">
      <c r="A6" s="1623" t="s">
        <v>469</v>
      </c>
      <c r="B6" s="1623"/>
      <c r="C6" s="846">
        <f>SUM(C12+C15+C16)</f>
        <v>50482521.75</v>
      </c>
      <c r="D6" s="846">
        <f>SUM(C12+C15+C16)</f>
        <v>50482521.75</v>
      </c>
      <c r="E6" s="527">
        <f t="shared" ref="E6:G7" si="0">SUM(J19)</f>
        <v>14839079.67</v>
      </c>
      <c r="F6" s="527">
        <f t="shared" si="0"/>
        <v>15820017.970000001</v>
      </c>
      <c r="G6" s="1630">
        <f t="shared" si="0"/>
        <v>15898466.550000001</v>
      </c>
      <c r="H6" s="1631"/>
      <c r="I6" s="1630">
        <f>SUM(L19)</f>
        <v>15898466.550000001</v>
      </c>
      <c r="J6" s="1633"/>
    </row>
    <row r="7" spans="1:16" ht="26.25" customHeight="1">
      <c r="A7" s="1623" t="s">
        <v>86</v>
      </c>
      <c r="B7" s="1623"/>
      <c r="C7" s="846">
        <f>SUM(C17)</f>
        <v>1112175</v>
      </c>
      <c r="D7" s="846">
        <v>1362519</v>
      </c>
      <c r="E7" s="527">
        <f t="shared" si="0"/>
        <v>0</v>
      </c>
      <c r="F7" s="527">
        <f t="shared" si="0"/>
        <v>0</v>
      </c>
      <c r="G7" s="1630">
        <f t="shared" si="0"/>
        <v>0</v>
      </c>
      <c r="H7" s="1631"/>
      <c r="I7" s="1630">
        <f>SUM(L20)</f>
        <v>0</v>
      </c>
      <c r="J7" s="1633"/>
    </row>
    <row r="10" spans="1:16" ht="32.25" customHeight="1">
      <c r="A10" s="1629"/>
      <c r="B10" s="1632" t="s">
        <v>1</v>
      </c>
      <c r="C10" s="1628" t="s">
        <v>470</v>
      </c>
      <c r="D10" s="1625" t="s">
        <v>471</v>
      </c>
      <c r="E10" s="1625" t="s">
        <v>472</v>
      </c>
      <c r="F10" s="1625" t="s">
        <v>473</v>
      </c>
      <c r="G10" s="1625" t="s">
        <v>264</v>
      </c>
      <c r="H10" s="1625"/>
      <c r="I10" s="1625"/>
      <c r="J10" s="1625" t="s">
        <v>474</v>
      </c>
      <c r="K10" s="1625"/>
      <c r="L10" s="1625"/>
      <c r="M10" s="1627" t="s">
        <v>264</v>
      </c>
      <c r="N10" s="3"/>
    </row>
    <row r="11" spans="1:16" ht="15.6" customHeight="1">
      <c r="A11" s="1629"/>
      <c r="B11" s="1632"/>
      <c r="C11" s="1628"/>
      <c r="D11" s="1625"/>
      <c r="E11" s="1625"/>
      <c r="F11" s="1625"/>
      <c r="G11" s="828">
        <v>2026</v>
      </c>
      <c r="H11" s="828">
        <v>2027</v>
      </c>
      <c r="I11" s="828">
        <v>2028</v>
      </c>
      <c r="J11" s="828">
        <v>2026</v>
      </c>
      <c r="K11" s="827">
        <v>2027</v>
      </c>
      <c r="L11" s="827">
        <v>2028</v>
      </c>
      <c r="M11" s="1627"/>
      <c r="N11" s="3"/>
    </row>
    <row r="12" spans="1:16" s="760" customFormat="1" ht="81" customHeight="1">
      <c r="A12" s="806" t="s">
        <v>475</v>
      </c>
      <c r="B12" s="776" t="s">
        <v>476</v>
      </c>
      <c r="C12" s="1624">
        <v>12162112.75</v>
      </c>
      <c r="D12" s="764" t="s">
        <v>477</v>
      </c>
      <c r="E12" s="765">
        <v>1</v>
      </c>
      <c r="F12" s="757">
        <v>80.97</v>
      </c>
      <c r="G12" s="761">
        <f>3500*0.5</f>
        <v>1750</v>
      </c>
      <c r="H12" s="761">
        <f>3500</f>
        <v>3500</v>
      </c>
      <c r="I12" s="761">
        <f>3500</f>
        <v>3500</v>
      </c>
      <c r="J12" s="758">
        <f t="shared" ref="J12:J17" si="1">SUM(G12*F12)</f>
        <v>141697.5</v>
      </c>
      <c r="K12" s="758">
        <f t="shared" ref="K12:K17" si="2">SUM(H12*F12)</f>
        <v>283395</v>
      </c>
      <c r="L12" s="758">
        <f t="shared" ref="L12:L17" si="3">SUM(I12*F12)</f>
        <v>283395</v>
      </c>
      <c r="M12" s="807" t="s">
        <v>478</v>
      </c>
      <c r="N12" s="759"/>
      <c r="O12" s="759"/>
      <c r="P12" s="759"/>
    </row>
    <row r="13" spans="1:16" s="767" customFormat="1" ht="86.25" customHeight="1">
      <c r="A13" s="785" t="s">
        <v>479</v>
      </c>
      <c r="B13" s="800" t="s">
        <v>480</v>
      </c>
      <c r="C13" s="1624"/>
      <c r="D13" s="764" t="s">
        <v>481</v>
      </c>
      <c r="E13" s="765">
        <v>1</v>
      </c>
      <c r="F13" s="769">
        <v>161.94999999999999</v>
      </c>
      <c r="G13" s="761">
        <f>2422*0.4</f>
        <v>968.80000000000007</v>
      </c>
      <c r="H13" s="761">
        <f>2422*0.6</f>
        <v>1453.2</v>
      </c>
      <c r="I13" s="761">
        <f>2422*0.8</f>
        <v>1937.6000000000001</v>
      </c>
      <c r="J13" s="768">
        <f t="shared" si="1"/>
        <v>156897.16</v>
      </c>
      <c r="K13" s="768">
        <f t="shared" si="2"/>
        <v>235345.74</v>
      </c>
      <c r="L13" s="802">
        <f t="shared" si="3"/>
        <v>313794.32</v>
      </c>
      <c r="M13" s="861" t="s">
        <v>482</v>
      </c>
      <c r="N13" s="766"/>
    </row>
    <row r="14" spans="1:16" s="760" customFormat="1" ht="72.75" customHeight="1">
      <c r="A14" s="799" t="s">
        <v>483</v>
      </c>
      <c r="B14" s="798" t="s">
        <v>914</v>
      </c>
      <c r="C14" s="1624"/>
      <c r="D14" s="764" t="s">
        <v>484</v>
      </c>
      <c r="E14" s="765">
        <v>1</v>
      </c>
      <c r="F14" s="757">
        <v>323.89</v>
      </c>
      <c r="G14" s="764">
        <v>475</v>
      </c>
      <c r="H14" s="764">
        <v>949</v>
      </c>
      <c r="I14" s="764">
        <v>949</v>
      </c>
      <c r="J14" s="758">
        <f t="shared" si="1"/>
        <v>153847.75</v>
      </c>
      <c r="K14" s="758">
        <f t="shared" si="2"/>
        <v>307371.61</v>
      </c>
      <c r="L14" s="801">
        <f t="shared" si="3"/>
        <v>307371.61</v>
      </c>
      <c r="M14" s="803" t="s">
        <v>485</v>
      </c>
      <c r="N14" s="611"/>
    </row>
    <row r="15" spans="1:16" s="760" customFormat="1" ht="72" customHeight="1">
      <c r="A15" s="786" t="s">
        <v>129</v>
      </c>
      <c r="B15" s="805" t="s">
        <v>917</v>
      </c>
      <c r="C15" s="804">
        <v>0</v>
      </c>
      <c r="D15" s="775" t="s">
        <v>484</v>
      </c>
      <c r="E15" s="773">
        <v>0.75</v>
      </c>
      <c r="F15" s="774">
        <v>153.08000000000001</v>
      </c>
      <c r="G15" s="761">
        <f>7934*0.5</f>
        <v>3967</v>
      </c>
      <c r="H15" s="761">
        <v>7934</v>
      </c>
      <c r="I15" s="761">
        <v>7934</v>
      </c>
      <c r="J15" s="758">
        <f t="shared" si="1"/>
        <v>607268.3600000001</v>
      </c>
      <c r="K15" s="758">
        <f t="shared" si="2"/>
        <v>1214536.7200000002</v>
      </c>
      <c r="L15" s="758">
        <f t="shared" si="3"/>
        <v>1214536.7200000002</v>
      </c>
      <c r="M15" s="772" t="s">
        <v>486</v>
      </c>
      <c r="N15" s="771"/>
    </row>
    <row r="16" spans="1:16" s="760" customFormat="1" ht="79.5" customHeight="1">
      <c r="A16" s="784" t="s">
        <v>131</v>
      </c>
      <c r="B16" s="770" t="s">
        <v>487</v>
      </c>
      <c r="C16" s="790">
        <v>38320409</v>
      </c>
      <c r="D16" s="775" t="s">
        <v>484</v>
      </c>
      <c r="E16" s="765">
        <v>1</v>
      </c>
      <c r="F16" s="769">
        <v>25.32</v>
      </c>
      <c r="G16" s="758">
        <v>504420</v>
      </c>
      <c r="H16" s="758">
        <v>504420</v>
      </c>
      <c r="I16" s="758">
        <v>504420</v>
      </c>
      <c r="J16" s="758">
        <f t="shared" si="1"/>
        <v>12771914.4</v>
      </c>
      <c r="K16" s="758">
        <f t="shared" si="2"/>
        <v>12771914.4</v>
      </c>
      <c r="L16" s="758">
        <f t="shared" si="3"/>
        <v>12771914.4</v>
      </c>
      <c r="M16" s="772" t="s">
        <v>488</v>
      </c>
      <c r="N16" s="611"/>
    </row>
    <row r="17" spans="1:14" s="763" customFormat="1" ht="69" customHeight="1">
      <c r="A17" s="787" t="s">
        <v>132</v>
      </c>
      <c r="B17" s="778" t="s">
        <v>135</v>
      </c>
      <c r="C17" s="1620">
        <v>1112175</v>
      </c>
      <c r="D17" s="779"/>
      <c r="E17" s="780">
        <v>1</v>
      </c>
      <c r="F17" s="714">
        <v>1549.93</v>
      </c>
      <c r="G17" s="781">
        <v>150</v>
      </c>
      <c r="H17" s="781">
        <v>150</v>
      </c>
      <c r="I17" s="781">
        <v>150</v>
      </c>
      <c r="J17" s="782">
        <f t="shared" si="1"/>
        <v>232489.5</v>
      </c>
      <c r="K17" s="782">
        <f t="shared" si="2"/>
        <v>232489.5</v>
      </c>
      <c r="L17" s="782">
        <f t="shared" si="3"/>
        <v>232489.5</v>
      </c>
      <c r="M17" s="788" t="s">
        <v>489</v>
      </c>
      <c r="N17" s="762"/>
    </row>
    <row r="18" spans="1:14" s="777" customFormat="1" ht="94.5" customHeight="1">
      <c r="A18" s="791" t="s">
        <v>133</v>
      </c>
      <c r="B18" s="789" t="s">
        <v>490</v>
      </c>
      <c r="C18" s="1621"/>
      <c r="D18" s="792" t="s">
        <v>32</v>
      </c>
      <c r="E18" s="793">
        <v>1</v>
      </c>
      <c r="F18" s="794">
        <v>1549.93</v>
      </c>
      <c r="G18" s="795">
        <v>500</v>
      </c>
      <c r="H18" s="795">
        <v>500</v>
      </c>
      <c r="I18" s="795">
        <v>500</v>
      </c>
      <c r="J18" s="796">
        <f>SUM(G18*F18)</f>
        <v>774965</v>
      </c>
      <c r="K18" s="796">
        <f>SUM(H18*F18)</f>
        <v>774965</v>
      </c>
      <c r="L18" s="796">
        <f>SUM(I18*F18)</f>
        <v>774965</v>
      </c>
      <c r="M18" s="797" t="s">
        <v>489</v>
      </c>
      <c r="N18" s="783"/>
    </row>
    <row r="19" spans="1:14" s="860" customFormat="1">
      <c r="A19" s="1622" t="s">
        <v>215</v>
      </c>
      <c r="B19" s="1622"/>
      <c r="C19" s="857">
        <f>SUM(C12,C13,C14,C15,C16,C17,C18)</f>
        <v>51594696.75</v>
      </c>
      <c r="D19" s="858"/>
      <c r="E19" s="858"/>
      <c r="F19" s="858"/>
      <c r="G19" s="858"/>
      <c r="H19" s="858"/>
      <c r="I19" s="858"/>
      <c r="J19" s="857">
        <f>SUM(J12,J13,J14,J15,J16,J17,J18)</f>
        <v>14839079.67</v>
      </c>
      <c r="K19" s="857">
        <f>SUM(K12,K13,K14,K15,K16,K17,K18)</f>
        <v>15820017.970000001</v>
      </c>
      <c r="L19" s="857">
        <f>SUM(L12,L13,L14,L15,L16,L17,L18)</f>
        <v>15898466.550000001</v>
      </c>
      <c r="M19" s="858" t="s">
        <v>32</v>
      </c>
      <c r="N19" s="859"/>
    </row>
    <row r="20" spans="1:14">
      <c r="A20" s="3"/>
      <c r="B20" s="3"/>
      <c r="C20" s="3"/>
      <c r="D20" s="3"/>
      <c r="E20" s="3"/>
      <c r="F20" s="3"/>
      <c r="G20" s="3"/>
      <c r="H20" s="3"/>
      <c r="I20" s="3"/>
      <c r="J20" s="611"/>
      <c r="K20" s="3"/>
      <c r="L20" s="3"/>
      <c r="M20" s="3"/>
      <c r="N20" s="3"/>
    </row>
    <row r="21" spans="1:14">
      <c r="A21" s="3"/>
      <c r="B21" s="3"/>
      <c r="C21" s="3"/>
      <c r="D21" s="3"/>
      <c r="E21" s="3"/>
      <c r="F21" s="3"/>
      <c r="G21" s="3"/>
      <c r="H21" s="3"/>
      <c r="I21" s="3"/>
      <c r="J21" s="3"/>
      <c r="K21" s="3"/>
      <c r="L21" s="3"/>
      <c r="M21" s="3"/>
      <c r="N21" s="3"/>
    </row>
    <row r="23" spans="1:14">
      <c r="B23" s="848" t="s">
        <v>491</v>
      </c>
      <c r="C23" s="848"/>
      <c r="D23" s="848"/>
      <c r="E23" s="848"/>
    </row>
    <row r="24" spans="1:14" ht="77.25" customHeight="1">
      <c r="B24" s="849" t="s">
        <v>32</v>
      </c>
      <c r="C24" s="68" t="s">
        <v>492</v>
      </c>
      <c r="D24" s="854" t="s">
        <v>493</v>
      </c>
      <c r="E24" s="854" t="s">
        <v>494</v>
      </c>
    </row>
    <row r="25" spans="1:14">
      <c r="B25" s="850">
        <v>0.75</v>
      </c>
      <c r="C25" s="855">
        <v>504420</v>
      </c>
      <c r="D25" s="856" t="s">
        <v>495</v>
      </c>
      <c r="E25" s="851">
        <v>38320409</v>
      </c>
    </row>
    <row r="26" spans="1:14">
      <c r="B26" s="852">
        <v>1</v>
      </c>
      <c r="C26" s="855">
        <v>504420</v>
      </c>
      <c r="D26" s="856" t="s">
        <v>496</v>
      </c>
      <c r="E26" s="851">
        <v>51092702</v>
      </c>
    </row>
    <row r="27" spans="1:14">
      <c r="B27" s="1617" t="s">
        <v>497</v>
      </c>
      <c r="C27" s="1618"/>
      <c r="D27" s="1619"/>
      <c r="E27" s="853">
        <v>12772293</v>
      </c>
    </row>
  </sheetData>
  <mergeCells count="26">
    <mergeCell ref="M10:M11"/>
    <mergeCell ref="A6:B6"/>
    <mergeCell ref="C10:C11"/>
    <mergeCell ref="A10:A11"/>
    <mergeCell ref="G6:H6"/>
    <mergeCell ref="G7:H7"/>
    <mergeCell ref="B10:B11"/>
    <mergeCell ref="D10:D11"/>
    <mergeCell ref="E10:E11"/>
    <mergeCell ref="F10:F11"/>
    <mergeCell ref="G10:I10"/>
    <mergeCell ref="I6:J6"/>
    <mergeCell ref="I7:J7"/>
    <mergeCell ref="B2:L2"/>
    <mergeCell ref="B27:D27"/>
    <mergeCell ref="C17:C18"/>
    <mergeCell ref="A19:B19"/>
    <mergeCell ref="A7:B7"/>
    <mergeCell ref="C12:C14"/>
    <mergeCell ref="J10:L10"/>
    <mergeCell ref="A4:B5"/>
    <mergeCell ref="C4:D4"/>
    <mergeCell ref="E4:E5"/>
    <mergeCell ref="F4:F5"/>
    <mergeCell ref="I4:J5"/>
    <mergeCell ref="G4:H5"/>
  </mergeCells>
  <pageMargins left="0.7" right="0.7" top="0.75" bottom="0.75" header="0.3" footer="0.3"/>
  <pageSetup paperSize="9" scale="36" orientation="portrait" verticalDpi="0" r:id="rId1"/>
  <colBreaks count="1" manualBreakCount="1">
    <brk id="13" max="26"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3D124-13D3-464A-B680-9BA93B8793A3}">
  <sheetPr>
    <tabColor theme="7" tint="0.79998168889431442"/>
  </sheetPr>
  <dimension ref="A1:M13"/>
  <sheetViews>
    <sheetView view="pageBreakPreview" zoomScale="60" zoomScaleNormal="100" workbookViewId="0">
      <selection activeCell="J1" sqref="J1"/>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J1" s="986" t="s">
        <v>928</v>
      </c>
    </row>
    <row r="2" spans="1:13" ht="35.25" customHeight="1">
      <c r="A2" s="1459" t="s">
        <v>926</v>
      </c>
      <c r="B2" s="1459"/>
      <c r="C2" s="1459"/>
      <c r="D2" s="987"/>
    </row>
    <row r="3" spans="1:13">
      <c r="A3" s="1462" t="s">
        <v>1</v>
      </c>
      <c r="B3" s="1518" t="s">
        <v>794</v>
      </c>
      <c r="C3" s="1518"/>
      <c r="D3" s="987"/>
    </row>
    <row r="4" spans="1:13">
      <c r="A4" s="1463"/>
      <c r="B4" s="988" t="s">
        <v>765</v>
      </c>
      <c r="C4" s="989" t="s">
        <v>766</v>
      </c>
      <c r="D4" s="990"/>
    </row>
    <row r="5" spans="1:13" ht="89.25">
      <c r="A5" s="991" t="s">
        <v>929</v>
      </c>
      <c r="B5" s="992">
        <v>0</v>
      </c>
      <c r="C5" s="503">
        <f>481500*1.21</f>
        <v>582615</v>
      </c>
      <c r="D5" s="990"/>
    </row>
    <row r="6" spans="1:13" ht="59.25" customHeight="1">
      <c r="A6" s="1460" t="s">
        <v>930</v>
      </c>
      <c r="B6" s="1460"/>
      <c r="C6" s="1460"/>
      <c r="D6" s="990"/>
    </row>
    <row r="7" spans="1:13">
      <c r="A7" s="1466"/>
      <c r="B7" s="1466"/>
      <c r="C7" s="1466"/>
    </row>
    <row r="9" spans="1:13">
      <c r="A9" s="1459" t="s">
        <v>926</v>
      </c>
      <c r="B9" s="1459"/>
      <c r="C9" s="1459"/>
      <c r="D9" s="1459"/>
      <c r="E9" s="1459"/>
      <c r="F9" s="1459"/>
      <c r="G9" s="1459"/>
      <c r="H9" s="1459"/>
      <c r="I9" s="1459"/>
      <c r="J9" s="1459"/>
      <c r="K9" s="1459"/>
    </row>
    <row r="10" spans="1:13" ht="63.75">
      <c r="A10" s="993"/>
      <c r="B10" s="994" t="s">
        <v>1</v>
      </c>
      <c r="C10" s="994" t="s">
        <v>2</v>
      </c>
      <c r="D10" s="988" t="s">
        <v>3</v>
      </c>
      <c r="E10" s="988" t="s">
        <v>768</v>
      </c>
      <c r="F10" s="988" t="s">
        <v>769</v>
      </c>
      <c r="G10" s="988" t="s">
        <v>770</v>
      </c>
      <c r="H10" s="988" t="s">
        <v>771</v>
      </c>
      <c r="I10" s="988" t="s">
        <v>772</v>
      </c>
      <c r="J10" s="988" t="s">
        <v>773</v>
      </c>
      <c r="K10" s="988" t="s">
        <v>774</v>
      </c>
    </row>
    <row r="11" spans="1:13" ht="168.75" customHeight="1">
      <c r="A11" s="995" t="s">
        <v>927</v>
      </c>
      <c r="B11" s="991" t="s">
        <v>929</v>
      </c>
      <c r="C11" s="996"/>
      <c r="D11" s="996"/>
      <c r="E11" s="994" t="s">
        <v>927</v>
      </c>
      <c r="F11" s="992">
        <v>9</v>
      </c>
      <c r="G11" s="992">
        <v>53500</v>
      </c>
      <c r="H11" s="992">
        <f>F11*G11</f>
        <v>481500</v>
      </c>
      <c r="I11" s="992">
        <v>21</v>
      </c>
      <c r="J11" s="992">
        <f>G11*1.21</f>
        <v>64735</v>
      </c>
      <c r="K11" s="992">
        <f>F11*J11</f>
        <v>582615</v>
      </c>
      <c r="M11" s="997"/>
    </row>
    <row r="12" spans="1:13">
      <c r="A12" s="502"/>
      <c r="B12" s="502"/>
      <c r="C12" s="502"/>
      <c r="D12" s="502"/>
      <c r="E12" s="502"/>
      <c r="F12" s="502"/>
      <c r="G12" s="502"/>
      <c r="H12" s="998">
        <f>SUM(H11:H11)</f>
        <v>481500</v>
      </c>
      <c r="I12" s="502"/>
      <c r="J12" s="998"/>
      <c r="K12" s="992">
        <f>SUM(K11:K11)</f>
        <v>582615</v>
      </c>
    </row>
    <row r="13" spans="1:13" ht="36.75" customHeight="1">
      <c r="A13" s="1460" t="s">
        <v>767</v>
      </c>
      <c r="B13" s="1460"/>
      <c r="C13" s="1460"/>
      <c r="D13" s="1460"/>
      <c r="E13" s="1460"/>
      <c r="F13" s="1460"/>
      <c r="G13" s="1460"/>
      <c r="H13" s="1460"/>
      <c r="I13" s="1460"/>
      <c r="J13" s="1460"/>
      <c r="K13" s="1460"/>
    </row>
  </sheetData>
  <mergeCells count="7">
    <mergeCell ref="A9:K9"/>
    <mergeCell ref="A13:K13"/>
    <mergeCell ref="A2:C2"/>
    <mergeCell ref="A3:A4"/>
    <mergeCell ref="B3:C3"/>
    <mergeCell ref="A6:C6"/>
    <mergeCell ref="A7:C7"/>
  </mergeCells>
  <pageMargins left="0.7" right="0.7" top="0.75" bottom="0.75" header="0.3" footer="0.3"/>
  <pageSetup paperSize="9" scale="46"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95ECE-0F68-49D3-9F42-4773A054C7D9}">
  <sheetPr>
    <tabColor theme="7" tint="0.79998168889431442"/>
  </sheetPr>
  <dimension ref="A1:AA69"/>
  <sheetViews>
    <sheetView view="pageBreakPreview" zoomScale="60" zoomScaleNormal="80" workbookViewId="0">
      <selection activeCell="I7" sqref="I7"/>
    </sheetView>
  </sheetViews>
  <sheetFormatPr defaultRowHeight="15" customHeight="1"/>
  <cols>
    <col min="2" max="2" width="40.85546875" customWidth="1"/>
    <col min="3" max="3" width="31.140625" customWidth="1"/>
    <col min="4" max="4" width="25.85546875" customWidth="1"/>
    <col min="5" max="5" width="20" customWidth="1"/>
    <col min="6" max="6" width="25.7109375" customWidth="1"/>
    <col min="7" max="7" width="14" customWidth="1"/>
    <col min="8" max="11" width="26" customWidth="1"/>
    <col min="12" max="12" width="17.7109375" customWidth="1"/>
    <col min="13" max="13" width="17.140625" customWidth="1"/>
    <col min="14" max="15" width="19.140625" customWidth="1"/>
    <col min="16" max="18" width="15.5703125" customWidth="1"/>
    <col min="19" max="21" width="14.28515625" customWidth="1"/>
    <col min="22" max="22" width="14.28515625" style="433" customWidth="1"/>
    <col min="23" max="23" width="14.28515625" customWidth="1"/>
    <col min="24" max="24" width="14.5703125" customWidth="1"/>
    <col min="25" max="26" width="15.5703125" customWidth="1"/>
  </cols>
  <sheetData>
    <row r="1" spans="1:27">
      <c r="A1" s="1"/>
      <c r="B1" s="1"/>
      <c r="C1" s="1"/>
      <c r="D1" s="1"/>
      <c r="E1" s="1"/>
      <c r="F1" s="1"/>
      <c r="G1" s="1"/>
      <c r="H1" s="1"/>
      <c r="I1" s="1"/>
      <c r="J1" s="1"/>
      <c r="K1" s="1"/>
      <c r="L1" s="1"/>
      <c r="M1" s="1"/>
      <c r="N1" s="1"/>
      <c r="O1" s="1"/>
      <c r="P1" s="1"/>
      <c r="Q1" s="1"/>
      <c r="R1" s="1"/>
      <c r="S1" s="1"/>
      <c r="T1" s="1"/>
      <c r="U1" s="986" t="s">
        <v>938</v>
      </c>
      <c r="V1" s="492"/>
      <c r="W1" s="1"/>
      <c r="X1" s="1"/>
      <c r="Y1" s="1"/>
      <c r="Z1" s="1"/>
    </row>
    <row r="2" spans="1:27" ht="15.75">
      <c r="A2" s="1"/>
      <c r="B2" s="1645" t="s">
        <v>149</v>
      </c>
      <c r="C2" s="1645"/>
      <c r="D2" s="1645"/>
      <c r="E2" s="1645"/>
      <c r="F2" s="1645"/>
      <c r="G2" s="1645"/>
      <c r="H2" s="1645"/>
      <c r="I2" s="1"/>
      <c r="J2" s="1"/>
      <c r="K2" s="1"/>
      <c r="L2" s="1"/>
      <c r="M2" s="1"/>
      <c r="N2" s="317"/>
      <c r="O2" s="317"/>
      <c r="P2" s="1"/>
      <c r="Q2" s="1"/>
      <c r="R2" s="1"/>
      <c r="S2" s="1"/>
      <c r="T2" s="1"/>
      <c r="U2" s="1"/>
      <c r="V2" s="492"/>
      <c r="W2" s="1"/>
      <c r="X2" s="1"/>
      <c r="Y2" s="1"/>
      <c r="Z2" s="1"/>
    </row>
    <row r="3" spans="1:27">
      <c r="A3" s="1"/>
      <c r="B3" s="1"/>
      <c r="C3" s="1"/>
      <c r="D3" s="1"/>
      <c r="E3" s="1"/>
      <c r="F3" s="1"/>
      <c r="G3" s="1"/>
      <c r="H3" s="1"/>
      <c r="I3" s="1"/>
      <c r="J3" s="1"/>
      <c r="K3" s="1"/>
      <c r="L3" s="1"/>
      <c r="M3" s="1"/>
      <c r="N3" s="1"/>
      <c r="O3" s="1"/>
      <c r="P3" s="1"/>
      <c r="Q3" s="1"/>
      <c r="R3" s="1"/>
      <c r="S3" s="1"/>
      <c r="T3" s="1"/>
      <c r="U3" s="492"/>
      <c r="V3" s="1"/>
      <c r="W3" s="1"/>
      <c r="X3" s="1"/>
    </row>
    <row r="4" spans="1:27" ht="105">
      <c r="A4" s="1"/>
      <c r="B4" s="4" t="s">
        <v>200</v>
      </c>
      <c r="C4" s="253" t="s">
        <v>227</v>
      </c>
      <c r="D4" s="5" t="s">
        <v>201</v>
      </c>
      <c r="E4" s="5" t="s">
        <v>1017</v>
      </c>
      <c r="F4" s="1"/>
      <c r="G4" s="1"/>
      <c r="H4" s="1"/>
      <c r="I4" s="1"/>
      <c r="J4" s="1"/>
      <c r="K4" s="1"/>
      <c r="L4" s="1"/>
      <c r="M4" s="1"/>
      <c r="N4" s="1"/>
      <c r="O4" s="1"/>
      <c r="P4" s="1"/>
      <c r="Q4" s="1"/>
      <c r="R4" s="1"/>
      <c r="S4" s="1"/>
      <c r="T4" s="1"/>
      <c r="U4" s="1"/>
      <c r="V4" s="492"/>
      <c r="W4" s="1"/>
      <c r="X4" s="1"/>
      <c r="Y4" s="1"/>
    </row>
    <row r="5" spans="1:27" ht="30">
      <c r="A5" s="1"/>
      <c r="B5" s="16" t="s">
        <v>86</v>
      </c>
      <c r="C5" s="583">
        <f>ROUND(1476006.18,0)</f>
        <v>1476006</v>
      </c>
      <c r="D5" s="583">
        <f>Q44</f>
        <v>5174226.6720000003</v>
      </c>
      <c r="E5" s="583">
        <f>T44</f>
        <v>6039196</v>
      </c>
      <c r="F5" s="1"/>
      <c r="G5" s="1"/>
      <c r="H5" s="1"/>
      <c r="I5" s="1"/>
      <c r="J5" s="1"/>
      <c r="K5" s="1"/>
      <c r="L5" s="1"/>
      <c r="M5" s="1"/>
      <c r="N5" s="1"/>
      <c r="O5" s="1"/>
      <c r="P5" s="1"/>
      <c r="Q5" s="1"/>
      <c r="R5" s="1"/>
      <c r="S5" s="1"/>
      <c r="T5" s="1"/>
      <c r="U5" s="1"/>
      <c r="V5" s="492"/>
      <c r="W5" s="1"/>
      <c r="X5" s="1"/>
      <c r="Y5" s="1"/>
    </row>
    <row r="6" spans="1:27" ht="29.25" customHeight="1">
      <c r="A6" s="1"/>
      <c r="B6" s="591" t="s">
        <v>82</v>
      </c>
      <c r="C6" s="16">
        <v>0</v>
      </c>
      <c r="D6" s="590">
        <f>P44</f>
        <v>1580720.5859999999</v>
      </c>
      <c r="E6" s="590">
        <f>S44</f>
        <v>1831589.5999999999</v>
      </c>
      <c r="F6" s="1"/>
      <c r="G6" s="1"/>
      <c r="H6" s="1"/>
      <c r="I6" s="1"/>
      <c r="J6" s="1"/>
      <c r="K6" s="1"/>
      <c r="L6" s="1"/>
      <c r="M6" s="1"/>
      <c r="N6" s="1"/>
      <c r="T6" s="1"/>
      <c r="U6" s="1"/>
      <c r="V6" s="492"/>
      <c r="W6" s="1"/>
      <c r="X6" s="1"/>
      <c r="Y6" s="1"/>
    </row>
    <row r="7" spans="1:27" ht="45" customHeight="1">
      <c r="G7" s="1"/>
      <c r="H7" s="1"/>
      <c r="I7" s="1"/>
      <c r="J7" s="1"/>
      <c r="K7" s="1"/>
      <c r="L7" s="1"/>
      <c r="M7" s="1"/>
      <c r="N7" s="1"/>
      <c r="T7" s="1"/>
      <c r="U7" s="1"/>
      <c r="V7" s="492"/>
      <c r="W7" s="1"/>
      <c r="X7" s="1"/>
      <c r="Y7" s="1"/>
    </row>
    <row r="8" spans="1:27" ht="21" customHeight="1">
      <c r="B8" s="409" t="s">
        <v>32</v>
      </c>
      <c r="C8" s="410" t="s">
        <v>316</v>
      </c>
      <c r="D8" s="411" t="s">
        <v>317</v>
      </c>
      <c r="E8" s="411" t="s">
        <v>318</v>
      </c>
      <c r="F8" s="411" t="s">
        <v>319</v>
      </c>
      <c r="G8" s="412" t="s">
        <v>32</v>
      </c>
      <c r="H8" s="409" t="s">
        <v>32</v>
      </c>
      <c r="I8" s="409" t="s">
        <v>32</v>
      </c>
      <c r="J8" s="409"/>
      <c r="K8" s="409"/>
      <c r="L8" s="409" t="s">
        <v>32</v>
      </c>
      <c r="M8" s="1643" t="s">
        <v>340</v>
      </c>
      <c r="N8" s="1643" t="s">
        <v>341</v>
      </c>
      <c r="O8" s="1643" t="s">
        <v>342</v>
      </c>
      <c r="T8" s="1"/>
      <c r="U8" s="1"/>
      <c r="V8" s="492"/>
      <c r="W8" s="1"/>
      <c r="X8" s="1"/>
      <c r="Y8" s="1"/>
    </row>
    <row r="9" spans="1:27" ht="21" customHeight="1">
      <c r="B9" s="413" t="s">
        <v>320</v>
      </c>
      <c r="C9" s="414">
        <v>2304</v>
      </c>
      <c r="D9" s="415">
        <v>1388</v>
      </c>
      <c r="E9" s="415">
        <v>925</v>
      </c>
      <c r="F9" s="416" t="s">
        <v>32</v>
      </c>
      <c r="G9" s="409" t="s">
        <v>32</v>
      </c>
      <c r="H9" s="409" t="s">
        <v>32</v>
      </c>
      <c r="I9" s="409" t="s">
        <v>32</v>
      </c>
      <c r="J9" s="409"/>
      <c r="K9" s="409"/>
      <c r="L9" s="409" t="s">
        <v>32</v>
      </c>
      <c r="M9" s="1644"/>
      <c r="N9" s="1644"/>
      <c r="O9" s="1644"/>
      <c r="T9" s="1"/>
      <c r="U9" s="1"/>
      <c r="V9" s="492"/>
      <c r="W9" s="1"/>
      <c r="X9" s="1"/>
      <c r="Y9" s="1"/>
    </row>
    <row r="10" spans="1:27" ht="21" customHeight="1">
      <c r="B10" s="413" t="s">
        <v>321</v>
      </c>
      <c r="C10" s="417">
        <f>ROUND(C9/9600,4)</f>
        <v>0.24</v>
      </c>
      <c r="D10" s="417">
        <f>ROUND(D9/9600,4)</f>
        <v>0.14460000000000001</v>
      </c>
      <c r="E10" s="417">
        <f>ROUND(E9/9600,4)</f>
        <v>9.64E-2</v>
      </c>
      <c r="F10" s="416">
        <v>0.2359</v>
      </c>
      <c r="G10" s="409" t="s">
        <v>32</v>
      </c>
      <c r="H10" s="409" t="s">
        <v>32</v>
      </c>
      <c r="I10" s="409" t="s">
        <v>32</v>
      </c>
      <c r="J10" s="409"/>
      <c r="K10" s="409"/>
      <c r="L10" s="413" t="s">
        <v>343</v>
      </c>
      <c r="M10" s="418">
        <v>0.28570000000000001</v>
      </c>
      <c r="N10" s="419">
        <v>2.0199999999999999E-2</v>
      </c>
      <c r="O10" s="419">
        <v>3.2199999999999999E-2</v>
      </c>
      <c r="T10" s="1"/>
      <c r="U10" s="1"/>
      <c r="V10" s="492"/>
      <c r="W10" s="1"/>
      <c r="X10" s="1"/>
      <c r="Y10" s="1"/>
    </row>
    <row r="11" spans="1:27" ht="45" customHeight="1">
      <c r="A11" s="78"/>
      <c r="B11" s="612" t="s">
        <v>584</v>
      </c>
      <c r="C11" s="587"/>
      <c r="D11" s="586"/>
      <c r="E11" s="586"/>
      <c r="F11" s="78"/>
      <c r="G11" s="79"/>
      <c r="H11" s="79"/>
      <c r="L11" s="829"/>
      <c r="M11" s="829"/>
      <c r="N11" s="585"/>
      <c r="T11" s="1"/>
      <c r="U11" s="1"/>
      <c r="V11" s="492"/>
      <c r="W11" s="1"/>
      <c r="X11" s="1"/>
      <c r="Y11" s="1"/>
    </row>
    <row r="12" spans="1:27" ht="44.25" customHeight="1">
      <c r="A12" s="78"/>
      <c r="B12" s="1647" t="s">
        <v>232</v>
      </c>
      <c r="C12" s="1647" t="s">
        <v>231</v>
      </c>
      <c r="D12" s="1635" t="s">
        <v>344</v>
      </c>
      <c r="E12" s="1636"/>
      <c r="F12" s="1636"/>
      <c r="G12" s="1636"/>
      <c r="H12" s="1636"/>
      <c r="I12" s="1636"/>
      <c r="J12" s="1636"/>
      <c r="K12" s="1636"/>
      <c r="L12" s="1636"/>
      <c r="M12" s="1636"/>
      <c r="N12" s="1636"/>
      <c r="O12" s="1636"/>
      <c r="P12" s="1636"/>
      <c r="Q12" s="1636"/>
      <c r="R12" s="1636"/>
      <c r="S12" s="1637"/>
      <c r="T12" s="1648" t="s">
        <v>345</v>
      </c>
      <c r="U12" s="1648" t="s">
        <v>346</v>
      </c>
      <c r="V12" s="1648" t="s">
        <v>233</v>
      </c>
      <c r="Y12" s="1"/>
      <c r="Z12" s="1"/>
      <c r="AA12" s="1"/>
    </row>
    <row r="13" spans="1:27" ht="58.5" customHeight="1">
      <c r="A13" s="78"/>
      <c r="B13" s="1647"/>
      <c r="C13" s="1647"/>
      <c r="D13" s="1635" t="s">
        <v>347</v>
      </c>
      <c r="E13" s="1636"/>
      <c r="F13" s="1637"/>
      <c r="G13" s="1635" t="s">
        <v>348</v>
      </c>
      <c r="H13" s="1636"/>
      <c r="I13" s="1637"/>
      <c r="J13" s="905"/>
      <c r="K13" s="905"/>
      <c r="L13" s="592" t="s">
        <v>349</v>
      </c>
      <c r="M13" s="1635" t="s">
        <v>350</v>
      </c>
      <c r="N13" s="1636"/>
      <c r="O13" s="1637"/>
      <c r="P13" s="1648" t="s">
        <v>351</v>
      </c>
      <c r="Q13" s="1648" t="s">
        <v>352</v>
      </c>
      <c r="R13" s="1648" t="s">
        <v>353</v>
      </c>
      <c r="S13" s="1648" t="s">
        <v>354</v>
      </c>
      <c r="T13" s="1651"/>
      <c r="U13" s="1651"/>
      <c r="V13" s="1651"/>
      <c r="Y13" s="1"/>
      <c r="Z13" s="1"/>
      <c r="AA13" s="1"/>
    </row>
    <row r="14" spans="1:27" ht="45">
      <c r="A14" s="78"/>
      <c r="B14" s="1648"/>
      <c r="C14" s="1648"/>
      <c r="D14" s="602" t="s">
        <v>355</v>
      </c>
      <c r="E14" s="602" t="s">
        <v>356</v>
      </c>
      <c r="F14" s="602" t="s">
        <v>357</v>
      </c>
      <c r="G14" s="602" t="s">
        <v>355</v>
      </c>
      <c r="H14" s="602" t="s">
        <v>356</v>
      </c>
      <c r="I14" s="602" t="s">
        <v>358</v>
      </c>
      <c r="J14" s="602"/>
      <c r="K14" s="602"/>
      <c r="L14" s="602" t="s">
        <v>359</v>
      </c>
      <c r="M14" s="603" t="s">
        <v>360</v>
      </c>
      <c r="N14" s="603" t="s">
        <v>361</v>
      </c>
      <c r="O14" s="603" t="s">
        <v>362</v>
      </c>
      <c r="P14" s="1652"/>
      <c r="Q14" s="1652"/>
      <c r="R14" s="1652"/>
      <c r="S14" s="1652"/>
      <c r="T14" s="1652"/>
      <c r="U14" s="1652"/>
      <c r="V14" s="1652"/>
      <c r="Y14" s="1"/>
      <c r="Z14" s="1"/>
      <c r="AA14" s="1"/>
    </row>
    <row r="15" spans="1:27" ht="45">
      <c r="A15" s="654" t="s">
        <v>585</v>
      </c>
      <c r="B15" s="630" t="s">
        <v>586</v>
      </c>
      <c r="C15" s="588" t="s">
        <v>587</v>
      </c>
      <c r="D15" s="663">
        <v>360</v>
      </c>
      <c r="E15" s="663">
        <v>360</v>
      </c>
      <c r="F15" s="418">
        <v>0</v>
      </c>
      <c r="G15" s="631">
        <f t="shared" ref="G15:G22" si="0">ROUND((D15*$C$10),2)</f>
        <v>86.4</v>
      </c>
      <c r="H15" s="631">
        <f t="shared" ref="H15:H22" si="1">ROUND((E15*$D$10),2)</f>
        <v>52.06</v>
      </c>
      <c r="I15" s="631">
        <v>0</v>
      </c>
      <c r="J15" s="631"/>
      <c r="K15" s="631"/>
      <c r="L15" s="631">
        <f t="shared" ref="L15:L22" si="2">ROUND(((G15+H15+I15)*$F$10),2)</f>
        <v>32.659999999999997</v>
      </c>
      <c r="M15" s="637">
        <f t="shared" ref="M15:M22" si="3">N15+O15</f>
        <v>183.82</v>
      </c>
      <c r="N15" s="632">
        <v>21.65</v>
      </c>
      <c r="O15" s="637">
        <v>162.16999999999999</v>
      </c>
      <c r="P15" s="631">
        <v>211.93</v>
      </c>
      <c r="Q15" s="631">
        <f>ROUND(((G15+H15+I15)*$M$10),2)</f>
        <v>39.56</v>
      </c>
      <c r="R15" s="631">
        <f t="shared" ref="R15:R22" si="4">ROUND(((G15+H15+I15)*$N$10),2)</f>
        <v>2.8</v>
      </c>
      <c r="S15" s="631">
        <f t="shared" ref="S15:S22" si="5">ROUND(((G15+H15+I15)*$O$10),2)</f>
        <v>4.46</v>
      </c>
      <c r="T15" s="638">
        <f t="shared" ref="T15:T22" si="6">ROUND((G15+H15+I15+L15+M15+P15+Q15+R15+S15),2)</f>
        <v>613.69000000000005</v>
      </c>
      <c r="U15" s="633">
        <v>0</v>
      </c>
      <c r="V15" s="638">
        <f t="shared" ref="V15:V22" si="7">T15-U15</f>
        <v>613.69000000000005</v>
      </c>
      <c r="Y15" s="1"/>
      <c r="Z15" s="1"/>
      <c r="AA15" s="1"/>
    </row>
    <row r="16" spans="1:27" ht="30">
      <c r="A16" s="654" t="s">
        <v>588</v>
      </c>
      <c r="B16" s="630" t="s">
        <v>586</v>
      </c>
      <c r="C16" s="588" t="s">
        <v>589</v>
      </c>
      <c r="D16" s="663">
        <v>60</v>
      </c>
      <c r="E16" s="663">
        <v>50</v>
      </c>
      <c r="F16" s="418">
        <v>0</v>
      </c>
      <c r="G16" s="631">
        <f t="shared" si="0"/>
        <v>14.4</v>
      </c>
      <c r="H16" s="631">
        <f t="shared" si="1"/>
        <v>7.23</v>
      </c>
      <c r="I16" s="631">
        <v>0</v>
      </c>
      <c r="J16" s="631"/>
      <c r="K16" s="631"/>
      <c r="L16" s="631">
        <f t="shared" si="2"/>
        <v>5.0999999999999996</v>
      </c>
      <c r="M16" s="637">
        <f t="shared" si="3"/>
        <v>8.7899999999999991</v>
      </c>
      <c r="N16" s="632">
        <v>0</v>
      </c>
      <c r="O16" s="637">
        <v>8.7899999999999991</v>
      </c>
      <c r="P16" s="631">
        <v>13.02</v>
      </c>
      <c r="Q16" s="631">
        <f>ROUND(((G16+H16+I16)*$M$10),2)</f>
        <v>6.18</v>
      </c>
      <c r="R16" s="631">
        <f t="shared" si="4"/>
        <v>0.44</v>
      </c>
      <c r="S16" s="631">
        <f t="shared" si="5"/>
        <v>0.7</v>
      </c>
      <c r="T16" s="638">
        <f t="shared" si="6"/>
        <v>55.86</v>
      </c>
      <c r="U16" s="633">
        <v>0</v>
      </c>
      <c r="V16" s="638">
        <f t="shared" si="7"/>
        <v>55.86</v>
      </c>
      <c r="Y16" s="1"/>
      <c r="Z16" s="1"/>
      <c r="AA16" s="1"/>
    </row>
    <row r="17" spans="1:27" ht="64.5">
      <c r="A17" s="654" t="s">
        <v>585</v>
      </c>
      <c r="B17" s="630" t="s">
        <v>590</v>
      </c>
      <c r="C17" s="589" t="s">
        <v>591</v>
      </c>
      <c r="D17" s="663">
        <v>520</v>
      </c>
      <c r="E17" s="663">
        <v>520</v>
      </c>
      <c r="F17" s="418">
        <v>0</v>
      </c>
      <c r="G17" s="631">
        <f t="shared" si="0"/>
        <v>124.8</v>
      </c>
      <c r="H17" s="841">
        <f t="shared" si="1"/>
        <v>75.19</v>
      </c>
      <c r="I17" s="631">
        <v>0</v>
      </c>
      <c r="J17" s="631"/>
      <c r="K17" s="631"/>
      <c r="L17" s="631">
        <f t="shared" si="2"/>
        <v>47.18</v>
      </c>
      <c r="M17" s="637">
        <f t="shared" si="3"/>
        <v>4202.1000000000004</v>
      </c>
      <c r="N17" s="632">
        <v>108.02</v>
      </c>
      <c r="O17" s="637">
        <v>4094.08</v>
      </c>
      <c r="P17" s="631">
        <v>306.12</v>
      </c>
      <c r="Q17" s="631">
        <f>ROUND(((G17+H17+I17)*$M$10),2)</f>
        <v>57.14</v>
      </c>
      <c r="R17" s="631">
        <f t="shared" si="4"/>
        <v>4.04</v>
      </c>
      <c r="S17" s="631">
        <f t="shared" si="5"/>
        <v>6.44</v>
      </c>
      <c r="T17" s="638">
        <f t="shared" si="6"/>
        <v>4823.01</v>
      </c>
      <c r="U17" s="633">
        <v>4</v>
      </c>
      <c r="V17" s="638">
        <f t="shared" si="7"/>
        <v>4819.01</v>
      </c>
      <c r="Y17" s="1"/>
      <c r="Z17" s="1"/>
      <c r="AA17" s="1"/>
    </row>
    <row r="18" spans="1:27" ht="45">
      <c r="A18" s="654" t="s">
        <v>588</v>
      </c>
      <c r="B18" s="630" t="s">
        <v>590</v>
      </c>
      <c r="C18" s="588" t="s">
        <v>592</v>
      </c>
      <c r="D18" s="418">
        <v>180</v>
      </c>
      <c r="E18" s="418">
        <v>120</v>
      </c>
      <c r="F18" s="418">
        <v>0</v>
      </c>
      <c r="G18" s="631">
        <f t="shared" si="0"/>
        <v>43.2</v>
      </c>
      <c r="H18" s="631">
        <f t="shared" si="1"/>
        <v>17.350000000000001</v>
      </c>
      <c r="I18" s="631">
        <v>0</v>
      </c>
      <c r="J18" s="631"/>
      <c r="K18" s="631"/>
      <c r="L18" s="631">
        <f t="shared" si="2"/>
        <v>14.28</v>
      </c>
      <c r="M18" s="637">
        <f t="shared" si="3"/>
        <v>316.42</v>
      </c>
      <c r="N18" s="632">
        <v>0</v>
      </c>
      <c r="O18" s="637">
        <v>316.42</v>
      </c>
      <c r="P18" s="631">
        <v>3.97</v>
      </c>
      <c r="Q18" s="631">
        <f>ROUND(((G18+H18+I18)*$M$10),2)+4</f>
        <v>21.3</v>
      </c>
      <c r="R18" s="631">
        <f t="shared" si="4"/>
        <v>1.22</v>
      </c>
      <c r="S18" s="631">
        <f t="shared" si="5"/>
        <v>1.95</v>
      </c>
      <c r="T18" s="638">
        <f t="shared" si="6"/>
        <v>419.69</v>
      </c>
      <c r="U18" s="633">
        <v>4</v>
      </c>
      <c r="V18" s="638">
        <f t="shared" si="7"/>
        <v>415.69</v>
      </c>
      <c r="Y18" s="1"/>
      <c r="Z18" s="1"/>
      <c r="AA18" s="1"/>
    </row>
    <row r="19" spans="1:27" ht="45">
      <c r="A19" s="654" t="s">
        <v>585</v>
      </c>
      <c r="B19" s="630" t="s">
        <v>593</v>
      </c>
      <c r="C19" s="588" t="s">
        <v>594</v>
      </c>
      <c r="D19" s="418">
        <v>0</v>
      </c>
      <c r="E19" s="418">
        <v>0</v>
      </c>
      <c r="F19" s="418">
        <v>0</v>
      </c>
      <c r="G19" s="631">
        <f t="shared" si="0"/>
        <v>0</v>
      </c>
      <c r="H19" s="631">
        <f t="shared" si="1"/>
        <v>0</v>
      </c>
      <c r="I19" s="631">
        <v>0</v>
      </c>
      <c r="J19" s="631"/>
      <c r="K19" s="631"/>
      <c r="L19" s="631">
        <f t="shared" si="2"/>
        <v>0</v>
      </c>
      <c r="M19" s="637">
        <f t="shared" si="3"/>
        <v>2339.9</v>
      </c>
      <c r="N19" s="632">
        <v>0</v>
      </c>
      <c r="O19" s="637">
        <v>2339.9</v>
      </c>
      <c r="P19" s="631">
        <v>0</v>
      </c>
      <c r="Q19" s="631">
        <f>ROUND(((G19+H19+I19)*$M$10),2)</f>
        <v>0</v>
      </c>
      <c r="R19" s="631">
        <f t="shared" si="4"/>
        <v>0</v>
      </c>
      <c r="S19" s="631">
        <f t="shared" si="5"/>
        <v>0</v>
      </c>
      <c r="T19" s="638">
        <f t="shared" si="6"/>
        <v>2339.9</v>
      </c>
      <c r="U19" s="633">
        <v>0</v>
      </c>
      <c r="V19" s="638">
        <f t="shared" si="7"/>
        <v>2339.9</v>
      </c>
      <c r="Y19" s="1"/>
      <c r="Z19" s="1"/>
      <c r="AA19" s="1"/>
    </row>
    <row r="20" spans="1:27" ht="45">
      <c r="A20" s="654" t="s">
        <v>588</v>
      </c>
      <c r="B20" s="630" t="s">
        <v>593</v>
      </c>
      <c r="C20" s="588" t="s">
        <v>595</v>
      </c>
      <c r="D20" s="418">
        <v>0</v>
      </c>
      <c r="E20" s="418">
        <v>0</v>
      </c>
      <c r="F20" s="418">
        <v>0</v>
      </c>
      <c r="G20" s="631">
        <f t="shared" si="0"/>
        <v>0</v>
      </c>
      <c r="H20" s="631">
        <f t="shared" si="1"/>
        <v>0</v>
      </c>
      <c r="I20" s="631">
        <v>0</v>
      </c>
      <c r="J20" s="631"/>
      <c r="K20" s="631"/>
      <c r="L20" s="631">
        <f t="shared" si="2"/>
        <v>0</v>
      </c>
      <c r="M20" s="637">
        <f t="shared" si="3"/>
        <v>684.75</v>
      </c>
      <c r="N20" s="632">
        <v>0</v>
      </c>
      <c r="O20" s="637">
        <v>684.75</v>
      </c>
      <c r="P20" s="631">
        <v>42.69</v>
      </c>
      <c r="Q20" s="631">
        <f>ROUND(((G20+H20+I20)*$M$10),2)</f>
        <v>0</v>
      </c>
      <c r="R20" s="631">
        <f t="shared" si="4"/>
        <v>0</v>
      </c>
      <c r="S20" s="631">
        <f t="shared" si="5"/>
        <v>0</v>
      </c>
      <c r="T20" s="638">
        <f t="shared" si="6"/>
        <v>727.44</v>
      </c>
      <c r="U20" s="633">
        <v>0</v>
      </c>
      <c r="V20" s="638">
        <f t="shared" si="7"/>
        <v>727.44</v>
      </c>
      <c r="Y20" s="1"/>
      <c r="Z20" s="1"/>
      <c r="AA20" s="1"/>
    </row>
    <row r="21" spans="1:27" ht="72.75" customHeight="1">
      <c r="A21" s="654" t="s">
        <v>585</v>
      </c>
      <c r="B21" s="630" t="s">
        <v>596</v>
      </c>
      <c r="C21" s="662" t="s">
        <v>597</v>
      </c>
      <c r="D21" s="418">
        <v>0</v>
      </c>
      <c r="E21" s="418">
        <v>0</v>
      </c>
      <c r="F21" s="418">
        <v>0</v>
      </c>
      <c r="G21" s="631">
        <f t="shared" si="0"/>
        <v>0</v>
      </c>
      <c r="H21" s="631">
        <f t="shared" si="1"/>
        <v>0</v>
      </c>
      <c r="I21" s="631">
        <v>0</v>
      </c>
      <c r="J21" s="631"/>
      <c r="K21" s="631"/>
      <c r="L21" s="631">
        <f t="shared" si="2"/>
        <v>0</v>
      </c>
      <c r="M21" s="637">
        <f t="shared" si="3"/>
        <v>1176.1199999999999</v>
      </c>
      <c r="N21" s="632">
        <v>0</v>
      </c>
      <c r="O21" s="637">
        <v>1176.1199999999999</v>
      </c>
      <c r="P21" s="631">
        <v>0</v>
      </c>
      <c r="Q21" s="631">
        <f>ROUND(((G21+H21+I21)*$M$10),2)</f>
        <v>0</v>
      </c>
      <c r="R21" s="631">
        <f t="shared" si="4"/>
        <v>0</v>
      </c>
      <c r="S21" s="631">
        <f t="shared" si="5"/>
        <v>0</v>
      </c>
      <c r="T21" s="638">
        <f t="shared" si="6"/>
        <v>1176.1199999999999</v>
      </c>
      <c r="U21" s="633">
        <v>0</v>
      </c>
      <c r="V21" s="638">
        <f t="shared" si="7"/>
        <v>1176.1199999999999</v>
      </c>
      <c r="Y21" s="1"/>
    </row>
    <row r="22" spans="1:27" ht="45">
      <c r="A22" s="654" t="s">
        <v>588</v>
      </c>
      <c r="B22" s="630" t="s">
        <v>596</v>
      </c>
      <c r="C22" s="588" t="s">
        <v>598</v>
      </c>
      <c r="D22" s="418">
        <v>0</v>
      </c>
      <c r="E22" s="418">
        <v>0</v>
      </c>
      <c r="F22" s="418">
        <v>0</v>
      </c>
      <c r="G22" s="631">
        <f t="shared" si="0"/>
        <v>0</v>
      </c>
      <c r="H22" s="631">
        <f t="shared" si="1"/>
        <v>0</v>
      </c>
      <c r="I22" s="631">
        <v>0</v>
      </c>
      <c r="J22" s="631"/>
      <c r="K22" s="631"/>
      <c r="L22" s="631">
        <f t="shared" si="2"/>
        <v>0</v>
      </c>
      <c r="M22" s="637">
        <f t="shared" si="3"/>
        <v>131.66</v>
      </c>
      <c r="N22" s="632">
        <v>0</v>
      </c>
      <c r="O22" s="637">
        <v>131.66</v>
      </c>
      <c r="P22" s="631">
        <v>42.69</v>
      </c>
      <c r="Q22" s="631">
        <f>ROUND(((G22+H22+I22)*$M$10),2)</f>
        <v>0</v>
      </c>
      <c r="R22" s="631">
        <f t="shared" si="4"/>
        <v>0</v>
      </c>
      <c r="S22" s="631">
        <f t="shared" si="5"/>
        <v>0</v>
      </c>
      <c r="T22" s="638">
        <f t="shared" si="6"/>
        <v>174.35</v>
      </c>
      <c r="U22" s="633">
        <v>0</v>
      </c>
      <c r="V22" s="638">
        <f t="shared" si="7"/>
        <v>174.35</v>
      </c>
      <c r="Y22" s="1"/>
      <c r="Z22" s="1"/>
      <c r="AA22" s="1"/>
    </row>
    <row r="23" spans="1:27">
      <c r="A23" s="1"/>
      <c r="B23" s="629"/>
      <c r="C23" s="330"/>
      <c r="D23" s="330"/>
      <c r="E23" s="625"/>
      <c r="F23" s="625"/>
      <c r="G23" s="625"/>
      <c r="H23" s="626"/>
      <c r="I23" s="626"/>
      <c r="J23" s="626"/>
      <c r="K23" s="626"/>
      <c r="L23" s="626"/>
      <c r="M23" s="626"/>
      <c r="N23" s="627"/>
      <c r="O23" s="627"/>
      <c r="P23" s="627"/>
      <c r="Q23" s="626"/>
      <c r="R23" s="626"/>
      <c r="S23" s="626"/>
      <c r="T23" s="626"/>
      <c r="U23" s="628"/>
      <c r="V23" s="628"/>
      <c r="W23" s="628"/>
      <c r="Y23" s="1"/>
      <c r="Z23" s="1"/>
      <c r="AA23" s="1"/>
    </row>
    <row r="24" spans="1:27" ht="45">
      <c r="A24" s="2"/>
      <c r="B24" s="2"/>
      <c r="C24" s="2"/>
      <c r="D24" s="2"/>
      <c r="E24" s="2"/>
      <c r="F24" s="2"/>
      <c r="G24" s="2"/>
      <c r="H24" s="2"/>
      <c r="I24" s="2"/>
      <c r="J24" s="2"/>
      <c r="K24" s="2"/>
      <c r="L24" s="123" t="s">
        <v>599</v>
      </c>
      <c r="M24" s="870" t="s">
        <v>600</v>
      </c>
      <c r="N24" s="840"/>
      <c r="O24" s="840"/>
      <c r="P24" s="907"/>
      <c r="Q24" s="907"/>
      <c r="R24" s="907"/>
      <c r="S24" s="907"/>
      <c r="T24" s="907"/>
      <c r="U24" s="907"/>
      <c r="V24" s="908"/>
      <c r="W24" s="907"/>
      <c r="X24" s="907"/>
      <c r="Y24" s="3"/>
      <c r="Z24" s="3"/>
    </row>
    <row r="25" spans="1:27" ht="27.75" customHeight="1">
      <c r="A25" s="1"/>
      <c r="B25" s="1523" t="s">
        <v>232</v>
      </c>
      <c r="C25" s="1523" t="s">
        <v>231</v>
      </c>
      <c r="D25" s="18"/>
      <c r="E25" s="1523" t="s">
        <v>421</v>
      </c>
      <c r="F25" s="1523" t="s">
        <v>422</v>
      </c>
      <c r="G25" s="1523" t="s">
        <v>250</v>
      </c>
      <c r="H25" s="1523" t="s">
        <v>251</v>
      </c>
      <c r="I25" s="1649" t="s">
        <v>601</v>
      </c>
      <c r="J25" s="1638" t="s">
        <v>602</v>
      </c>
      <c r="K25" s="1639"/>
      <c r="L25" s="1639"/>
      <c r="M25" s="1639"/>
      <c r="N25" s="1639"/>
      <c r="O25" s="1640"/>
      <c r="P25" s="1641" t="s">
        <v>603</v>
      </c>
      <c r="Q25" s="1641" t="s">
        <v>604</v>
      </c>
      <c r="R25" s="1523" t="s">
        <v>605</v>
      </c>
      <c r="S25" s="1523" t="s">
        <v>606</v>
      </c>
      <c r="T25" s="1523" t="s">
        <v>607</v>
      </c>
      <c r="U25" s="1523" t="s">
        <v>608</v>
      </c>
      <c r="V25"/>
    </row>
    <row r="26" spans="1:27" ht="65.25" customHeight="1">
      <c r="A26" s="1"/>
      <c r="B26" s="1634"/>
      <c r="C26" s="1634"/>
      <c r="D26" s="482" t="s">
        <v>609</v>
      </c>
      <c r="E26" s="1525"/>
      <c r="F26" s="1634"/>
      <c r="G26" s="1634"/>
      <c r="H26" s="1524"/>
      <c r="I26" s="1650"/>
      <c r="J26" s="19" t="s">
        <v>610</v>
      </c>
      <c r="K26" s="19" t="s">
        <v>611</v>
      </c>
      <c r="L26" s="19" t="s">
        <v>612</v>
      </c>
      <c r="M26" s="19" t="s">
        <v>613</v>
      </c>
      <c r="N26" s="19" t="s">
        <v>614</v>
      </c>
      <c r="O26" s="19" t="s">
        <v>615</v>
      </c>
      <c r="P26" s="1642"/>
      <c r="Q26" s="1642"/>
      <c r="R26" s="1524"/>
      <c r="S26" s="1524"/>
      <c r="T26" s="1524"/>
      <c r="U26" s="1634"/>
      <c r="V26"/>
    </row>
    <row r="27" spans="1:27" ht="60">
      <c r="A27" s="1"/>
      <c r="B27" s="192" t="s">
        <v>586</v>
      </c>
      <c r="C27" s="193" t="s">
        <v>589</v>
      </c>
      <c r="D27" s="193" t="s">
        <v>587</v>
      </c>
      <c r="E27" s="194">
        <v>55.86</v>
      </c>
      <c r="F27" s="195">
        <f>T15</f>
        <v>613.69000000000005</v>
      </c>
      <c r="G27" s="196">
        <v>0</v>
      </c>
      <c r="H27" s="290">
        <v>1</v>
      </c>
      <c r="I27" s="902" t="s">
        <v>616</v>
      </c>
      <c r="J27" s="319">
        <v>1127</v>
      </c>
      <c r="K27" s="197">
        <f>J27*0.2</f>
        <v>225.4</v>
      </c>
      <c r="L27" s="197">
        <f>J27-K27</f>
        <v>901.6</v>
      </c>
      <c r="M27" s="621">
        <v>1300</v>
      </c>
      <c r="N27" s="621">
        <f>M27*0.2</f>
        <v>260</v>
      </c>
      <c r="O27" s="621">
        <f>M27-N27</f>
        <v>1040</v>
      </c>
      <c r="P27" s="614">
        <f>F27*K27</f>
        <v>138325.72600000002</v>
      </c>
      <c r="Q27" s="614">
        <f>(F27-E27)*L27</f>
        <v>502939.52800000005</v>
      </c>
      <c r="R27" s="614">
        <f>P27+Q27</f>
        <v>641265.25400000007</v>
      </c>
      <c r="S27" s="614">
        <f>F27*N27</f>
        <v>159559.40000000002</v>
      </c>
      <c r="T27" s="615">
        <f>(F27-E27)*O27</f>
        <v>580143.20000000007</v>
      </c>
      <c r="U27" s="616">
        <f>S27+T27</f>
        <v>739702.60000000009</v>
      </c>
      <c r="V27"/>
    </row>
    <row r="28" spans="1:27" ht="77.25">
      <c r="A28" s="1"/>
      <c r="B28" s="192" t="s">
        <v>590</v>
      </c>
      <c r="C28" s="193" t="s">
        <v>592</v>
      </c>
      <c r="D28" s="830" t="s">
        <v>591</v>
      </c>
      <c r="E28" s="194">
        <v>415.69</v>
      </c>
      <c r="F28" s="195">
        <f>T17</f>
        <v>4823.01</v>
      </c>
      <c r="G28" s="196">
        <v>4</v>
      </c>
      <c r="H28" s="290">
        <v>1</v>
      </c>
      <c r="I28" s="903">
        <v>610</v>
      </c>
      <c r="J28" s="319">
        <v>621</v>
      </c>
      <c r="K28" s="197">
        <f t="shared" ref="K28:K41" si="8">J28*0.2</f>
        <v>124.2</v>
      </c>
      <c r="L28" s="197">
        <f t="shared" ref="L28:L41" si="9">J28-K28</f>
        <v>496.8</v>
      </c>
      <c r="M28" s="621">
        <v>800</v>
      </c>
      <c r="N28" s="621">
        <f t="shared" ref="N28:N41" si="10">M28*0.2</f>
        <v>160</v>
      </c>
      <c r="O28" s="621">
        <f t="shared" ref="O28:O41" si="11">M28-N28</f>
        <v>640</v>
      </c>
      <c r="P28" s="614">
        <f>F28*K28</f>
        <v>599017.84200000006</v>
      </c>
      <c r="Q28" s="614">
        <f>(F28-E28)*L28</f>
        <v>2189556.5760000004</v>
      </c>
      <c r="R28" s="614">
        <f t="shared" ref="R28:R43" si="12">P28+Q28</f>
        <v>2788574.4180000005</v>
      </c>
      <c r="S28" s="614">
        <f t="shared" ref="S28:S43" si="13">F28*N28</f>
        <v>771681.60000000009</v>
      </c>
      <c r="T28" s="615">
        <f>(F28-E28)*O28</f>
        <v>2820684.8000000003</v>
      </c>
      <c r="U28" s="616">
        <f t="shared" ref="U28:U43" si="14">S28+T28</f>
        <v>3592366.4000000004</v>
      </c>
      <c r="V28"/>
      <c r="W28" s="266">
        <f>F27+F29+F30</f>
        <v>4129.71</v>
      </c>
    </row>
    <row r="29" spans="1:27" ht="60">
      <c r="A29" s="1"/>
      <c r="B29" s="192" t="s">
        <v>593</v>
      </c>
      <c r="C29" s="193" t="s">
        <v>595</v>
      </c>
      <c r="D29" s="193" t="s">
        <v>594</v>
      </c>
      <c r="E29" s="194">
        <v>727.44</v>
      </c>
      <c r="F29" s="195">
        <f>T19</f>
        <v>2339.9</v>
      </c>
      <c r="G29" s="196">
        <v>0</v>
      </c>
      <c r="H29" s="290">
        <v>1</v>
      </c>
      <c r="I29" s="903" t="s">
        <v>617</v>
      </c>
      <c r="J29" s="319">
        <v>1122</v>
      </c>
      <c r="K29" s="197">
        <f t="shared" si="8"/>
        <v>224.4</v>
      </c>
      <c r="L29" s="197">
        <f t="shared" si="9"/>
        <v>897.6</v>
      </c>
      <c r="M29" s="621">
        <v>1200</v>
      </c>
      <c r="N29" s="621">
        <f t="shared" si="10"/>
        <v>240</v>
      </c>
      <c r="O29" s="621">
        <f t="shared" si="11"/>
        <v>960</v>
      </c>
      <c r="P29" s="614">
        <f t="shared" ref="P28:P43" si="15">F29*K29</f>
        <v>525073.56000000006</v>
      </c>
      <c r="Q29" s="614">
        <f>(F29-E29)*L29</f>
        <v>1447344.0960000001</v>
      </c>
      <c r="R29" s="614">
        <f t="shared" si="12"/>
        <v>1972417.6560000002</v>
      </c>
      <c r="S29" s="614">
        <f t="shared" si="13"/>
        <v>561576</v>
      </c>
      <c r="T29" s="615">
        <f>(F29-E29)*O29</f>
        <v>1547961.6</v>
      </c>
      <c r="U29" s="616">
        <f t="shared" si="14"/>
        <v>2109537.6</v>
      </c>
      <c r="V29"/>
      <c r="W29" s="266">
        <f>F28+F29</f>
        <v>7162.91</v>
      </c>
    </row>
    <row r="30" spans="1:27" ht="86.25" customHeight="1">
      <c r="A30" s="1"/>
      <c r="B30" s="198" t="s">
        <v>596</v>
      </c>
      <c r="C30" s="199" t="s">
        <v>598</v>
      </c>
      <c r="D30" s="461" t="s">
        <v>597</v>
      </c>
      <c r="E30" s="200">
        <v>174.35</v>
      </c>
      <c r="F30" s="201">
        <f>T21</f>
        <v>1176.1199999999999</v>
      </c>
      <c r="G30" s="196">
        <v>0</v>
      </c>
      <c r="H30" s="290">
        <v>1</v>
      </c>
      <c r="I30" s="903" t="s">
        <v>618</v>
      </c>
      <c r="J30" s="319">
        <v>1129</v>
      </c>
      <c r="K30" s="281">
        <f t="shared" si="8"/>
        <v>225.8</v>
      </c>
      <c r="L30" s="281">
        <f t="shared" si="9"/>
        <v>903.2</v>
      </c>
      <c r="M30" s="621">
        <v>1200</v>
      </c>
      <c r="N30" s="621">
        <f t="shared" si="10"/>
        <v>240</v>
      </c>
      <c r="O30" s="621">
        <f t="shared" si="11"/>
        <v>960</v>
      </c>
      <c r="P30" s="614">
        <f t="shared" si="15"/>
        <v>265567.89600000001</v>
      </c>
      <c r="Q30" s="617">
        <f>(F30-E30)*L30</f>
        <v>904798.66399999987</v>
      </c>
      <c r="R30" s="617">
        <f t="shared" si="12"/>
        <v>1170366.5599999998</v>
      </c>
      <c r="S30" s="614">
        <f t="shared" si="13"/>
        <v>282268.79999999999</v>
      </c>
      <c r="T30" s="618">
        <f>(F30-E30)*O30</f>
        <v>961699.19999999984</v>
      </c>
      <c r="U30" s="619">
        <f t="shared" si="14"/>
        <v>1243967.9999999998</v>
      </c>
      <c r="V30"/>
    </row>
    <row r="31" spans="1:27" ht="30">
      <c r="A31" s="1"/>
      <c r="B31" s="202" t="s">
        <v>460</v>
      </c>
      <c r="C31" s="203" t="s">
        <v>619</v>
      </c>
      <c r="D31" s="203" t="s">
        <v>435</v>
      </c>
      <c r="E31" s="204">
        <v>27.03</v>
      </c>
      <c r="F31" s="205"/>
      <c r="G31" s="1711">
        <v>0</v>
      </c>
      <c r="H31" s="1712">
        <v>1</v>
      </c>
      <c r="I31" s="1713" t="s">
        <v>620</v>
      </c>
      <c r="J31" s="1714">
        <v>1016</v>
      </c>
      <c r="K31" s="1715">
        <v>800</v>
      </c>
      <c r="L31" s="1715">
        <f t="shared" si="9"/>
        <v>216</v>
      </c>
      <c r="M31" s="1715">
        <v>900</v>
      </c>
      <c r="N31" s="1716">
        <v>900</v>
      </c>
      <c r="O31" s="1717">
        <f t="shared" si="11"/>
        <v>0</v>
      </c>
      <c r="P31" s="1717">
        <f>E31*K31</f>
        <v>21624</v>
      </c>
      <c r="Q31" s="1717">
        <f t="shared" ref="Q31:Q43" si="16">E31*L31</f>
        <v>5838.4800000000005</v>
      </c>
      <c r="R31" s="1717">
        <f t="shared" si="12"/>
        <v>27462.48</v>
      </c>
      <c r="S31" s="1717">
        <f>E31*N31</f>
        <v>24327</v>
      </c>
      <c r="T31" s="1718">
        <f t="shared" ref="T31:T43" si="17">E31*O31</f>
        <v>0</v>
      </c>
      <c r="U31" s="1719">
        <f t="shared" si="14"/>
        <v>24327</v>
      </c>
      <c r="V31" s="282" t="s">
        <v>621</v>
      </c>
    </row>
    <row r="32" spans="1:27" ht="45">
      <c r="A32" s="1"/>
      <c r="B32" s="269" t="s">
        <v>622</v>
      </c>
      <c r="C32" s="270" t="s">
        <v>623</v>
      </c>
      <c r="D32" s="270" t="s">
        <v>435</v>
      </c>
      <c r="E32" s="271">
        <v>30.67</v>
      </c>
      <c r="F32" s="272"/>
      <c r="G32" s="273">
        <v>4</v>
      </c>
      <c r="H32" s="291">
        <v>1</v>
      </c>
      <c r="I32" s="903">
        <v>52</v>
      </c>
      <c r="J32" s="1708">
        <v>60</v>
      </c>
      <c r="K32" s="1709">
        <f t="shared" si="8"/>
        <v>12</v>
      </c>
      <c r="L32" s="1709">
        <f t="shared" si="9"/>
        <v>48</v>
      </c>
      <c r="M32" s="1709">
        <v>70</v>
      </c>
      <c r="N32" s="1709">
        <f t="shared" si="10"/>
        <v>14</v>
      </c>
      <c r="O32" s="661">
        <f t="shared" si="11"/>
        <v>56</v>
      </c>
      <c r="P32" s="1710">
        <f t="shared" ref="P32:P43" si="18">E32*K32</f>
        <v>368.04</v>
      </c>
      <c r="Q32" s="657">
        <f t="shared" si="16"/>
        <v>1472.16</v>
      </c>
      <c r="R32" s="657">
        <f t="shared" si="12"/>
        <v>1840.2</v>
      </c>
      <c r="S32" s="1710">
        <f>E32*N32</f>
        <v>429.38</v>
      </c>
      <c r="T32" s="657">
        <f t="shared" si="17"/>
        <v>1717.52</v>
      </c>
      <c r="U32" s="657">
        <f t="shared" si="14"/>
        <v>2146.9</v>
      </c>
      <c r="V32" s="282"/>
    </row>
    <row r="33" spans="1:26" ht="45">
      <c r="A33" s="1"/>
      <c r="B33" s="202" t="s">
        <v>624</v>
      </c>
      <c r="C33" s="203" t="s">
        <v>625</v>
      </c>
      <c r="D33" s="203" t="s">
        <v>435</v>
      </c>
      <c r="E33" s="204">
        <v>32.06</v>
      </c>
      <c r="F33" s="205"/>
      <c r="G33" s="206">
        <v>0</v>
      </c>
      <c r="H33" s="290">
        <v>1</v>
      </c>
      <c r="I33" s="903">
        <v>2</v>
      </c>
      <c r="J33" s="909">
        <v>20</v>
      </c>
      <c r="K33" s="621">
        <f t="shared" si="8"/>
        <v>4</v>
      </c>
      <c r="L33" s="621">
        <f t="shared" si="9"/>
        <v>16</v>
      </c>
      <c r="M33" s="621">
        <v>30</v>
      </c>
      <c r="N33" s="621">
        <f t="shared" si="10"/>
        <v>6</v>
      </c>
      <c r="O33" s="660">
        <f t="shared" si="11"/>
        <v>24</v>
      </c>
      <c r="P33" s="614">
        <f t="shared" si="18"/>
        <v>128.24</v>
      </c>
      <c r="Q33" s="620">
        <f t="shared" si="16"/>
        <v>512.96</v>
      </c>
      <c r="R33" s="620">
        <f t="shared" si="12"/>
        <v>641.20000000000005</v>
      </c>
      <c r="S33" s="614">
        <f t="shared" ref="S32:S43" si="19">E33*N33</f>
        <v>192.36</v>
      </c>
      <c r="T33" s="620">
        <f t="shared" si="17"/>
        <v>769.44</v>
      </c>
      <c r="U33" s="620">
        <f t="shared" si="14"/>
        <v>961.80000000000007</v>
      </c>
      <c r="V33" s="282"/>
    </row>
    <row r="34" spans="1:26" ht="45">
      <c r="A34" s="1"/>
      <c r="B34" s="202" t="s">
        <v>461</v>
      </c>
      <c r="C34" s="203" t="s">
        <v>626</v>
      </c>
      <c r="D34" s="203" t="s">
        <v>435</v>
      </c>
      <c r="E34" s="204">
        <v>31.37</v>
      </c>
      <c r="F34" s="205"/>
      <c r="G34" s="206">
        <v>0</v>
      </c>
      <c r="H34" s="290">
        <v>1</v>
      </c>
      <c r="I34" s="903">
        <v>677</v>
      </c>
      <c r="J34" s="621">
        <v>580</v>
      </c>
      <c r="K34" s="621">
        <f t="shared" si="8"/>
        <v>116</v>
      </c>
      <c r="L34" s="621">
        <f t="shared" si="9"/>
        <v>464</v>
      </c>
      <c r="M34" s="621">
        <v>570</v>
      </c>
      <c r="N34" s="621">
        <f t="shared" si="10"/>
        <v>114</v>
      </c>
      <c r="O34" s="660">
        <f t="shared" si="11"/>
        <v>456</v>
      </c>
      <c r="P34" s="614">
        <f t="shared" si="18"/>
        <v>3638.92</v>
      </c>
      <c r="Q34" s="620">
        <f t="shared" si="16"/>
        <v>14555.68</v>
      </c>
      <c r="R34" s="620">
        <f t="shared" si="12"/>
        <v>18194.599999999999</v>
      </c>
      <c r="S34" s="614">
        <f t="shared" si="19"/>
        <v>3576.1800000000003</v>
      </c>
      <c r="T34" s="620">
        <f t="shared" si="17"/>
        <v>14304.720000000001</v>
      </c>
      <c r="U34" s="620">
        <f t="shared" si="14"/>
        <v>17880.900000000001</v>
      </c>
      <c r="V34" s="282" t="s">
        <v>627</v>
      </c>
    </row>
    <row r="35" spans="1:26" ht="45">
      <c r="A35" s="1"/>
      <c r="B35" s="202" t="s">
        <v>462</v>
      </c>
      <c r="C35" s="203" t="s">
        <v>628</v>
      </c>
      <c r="D35" s="203" t="s">
        <v>435</v>
      </c>
      <c r="E35" s="204">
        <v>46.72</v>
      </c>
      <c r="F35" s="205"/>
      <c r="G35" s="206">
        <v>0</v>
      </c>
      <c r="H35" s="290">
        <v>1</v>
      </c>
      <c r="I35" s="903" t="s">
        <v>629</v>
      </c>
      <c r="J35" s="621">
        <v>1901</v>
      </c>
      <c r="K35" s="621">
        <f t="shared" si="8"/>
        <v>380.20000000000005</v>
      </c>
      <c r="L35" s="621">
        <f t="shared" si="9"/>
        <v>1520.8</v>
      </c>
      <c r="M35" s="621">
        <v>1850</v>
      </c>
      <c r="N35" s="621">
        <f t="shared" si="10"/>
        <v>370</v>
      </c>
      <c r="O35" s="660">
        <f t="shared" si="11"/>
        <v>1480</v>
      </c>
      <c r="P35" s="614">
        <f t="shared" si="18"/>
        <v>17762.944000000003</v>
      </c>
      <c r="Q35" s="620">
        <f t="shared" si="16"/>
        <v>71051.775999999998</v>
      </c>
      <c r="R35" s="620">
        <f t="shared" si="12"/>
        <v>88814.720000000001</v>
      </c>
      <c r="S35" s="614">
        <f t="shared" si="19"/>
        <v>17286.399999999998</v>
      </c>
      <c r="T35" s="620">
        <f t="shared" si="17"/>
        <v>69145.599999999991</v>
      </c>
      <c r="U35" s="620">
        <f t="shared" si="14"/>
        <v>86431.999999999985</v>
      </c>
      <c r="V35" s="282" t="s">
        <v>630</v>
      </c>
    </row>
    <row r="36" spans="1:26" ht="30">
      <c r="A36" s="1"/>
      <c r="B36" s="202" t="s">
        <v>463</v>
      </c>
      <c r="C36" s="203" t="s">
        <v>631</v>
      </c>
      <c r="D36" s="203" t="s">
        <v>435</v>
      </c>
      <c r="E36" s="204">
        <v>46.72</v>
      </c>
      <c r="F36" s="205"/>
      <c r="G36" s="206">
        <v>0</v>
      </c>
      <c r="H36" s="290">
        <v>1</v>
      </c>
      <c r="I36" s="903">
        <v>38</v>
      </c>
      <c r="J36" s="621">
        <v>37</v>
      </c>
      <c r="K36" s="621">
        <f t="shared" si="8"/>
        <v>7.4</v>
      </c>
      <c r="L36" s="621">
        <f t="shared" si="9"/>
        <v>29.6</v>
      </c>
      <c r="M36" s="621">
        <v>45</v>
      </c>
      <c r="N36" s="621">
        <f t="shared" si="10"/>
        <v>9</v>
      </c>
      <c r="O36" s="660">
        <f t="shared" si="11"/>
        <v>36</v>
      </c>
      <c r="P36" s="614">
        <f t="shared" si="18"/>
        <v>345.72800000000001</v>
      </c>
      <c r="Q36" s="620">
        <f t="shared" si="16"/>
        <v>1382.912</v>
      </c>
      <c r="R36" s="620">
        <f t="shared" si="12"/>
        <v>1728.64</v>
      </c>
      <c r="S36" s="614">
        <f t="shared" si="19"/>
        <v>420.48</v>
      </c>
      <c r="T36" s="620">
        <f t="shared" si="17"/>
        <v>1681.92</v>
      </c>
      <c r="U36" s="620">
        <f t="shared" si="14"/>
        <v>2102.4</v>
      </c>
      <c r="V36" s="282" t="s">
        <v>632</v>
      </c>
    </row>
    <row r="37" spans="1:26" ht="30">
      <c r="A37" s="1"/>
      <c r="B37" s="202" t="s">
        <v>464</v>
      </c>
      <c r="C37" s="203" t="s">
        <v>633</v>
      </c>
      <c r="D37" s="203" t="s">
        <v>435</v>
      </c>
      <c r="E37" s="204">
        <v>58.17</v>
      </c>
      <c r="F37" s="205"/>
      <c r="G37" s="206">
        <v>0</v>
      </c>
      <c r="H37" s="290">
        <v>1</v>
      </c>
      <c r="I37" s="903">
        <v>484</v>
      </c>
      <c r="J37" s="621">
        <v>465</v>
      </c>
      <c r="K37" s="621">
        <f t="shared" si="8"/>
        <v>93</v>
      </c>
      <c r="L37" s="621">
        <f t="shared" si="9"/>
        <v>372</v>
      </c>
      <c r="M37" s="621">
        <v>500</v>
      </c>
      <c r="N37" s="621">
        <f t="shared" si="10"/>
        <v>100</v>
      </c>
      <c r="O37" s="660">
        <f t="shared" si="11"/>
        <v>400</v>
      </c>
      <c r="P37" s="614">
        <f t="shared" si="18"/>
        <v>5409.81</v>
      </c>
      <c r="Q37" s="620">
        <f t="shared" si="16"/>
        <v>21639.24</v>
      </c>
      <c r="R37" s="620">
        <f t="shared" si="12"/>
        <v>27049.050000000003</v>
      </c>
      <c r="S37" s="614">
        <f t="shared" si="19"/>
        <v>5817</v>
      </c>
      <c r="T37" s="620">
        <f t="shared" si="17"/>
        <v>23268</v>
      </c>
      <c r="U37" s="620">
        <f t="shared" si="14"/>
        <v>29085</v>
      </c>
      <c r="V37" s="282" t="s">
        <v>634</v>
      </c>
    </row>
    <row r="38" spans="1:26" ht="20.25" customHeight="1">
      <c r="A38" s="1"/>
      <c r="B38" s="202" t="s">
        <v>635</v>
      </c>
      <c r="C38" s="203" t="s">
        <v>636</v>
      </c>
      <c r="D38" s="203" t="s">
        <v>435</v>
      </c>
      <c r="E38" s="204">
        <v>352.05</v>
      </c>
      <c r="F38" s="205"/>
      <c r="G38" s="206">
        <v>0</v>
      </c>
      <c r="H38" s="290">
        <v>1</v>
      </c>
      <c r="I38" s="903">
        <v>0</v>
      </c>
      <c r="J38" s="621">
        <v>5</v>
      </c>
      <c r="K38" s="621">
        <f t="shared" si="8"/>
        <v>1</v>
      </c>
      <c r="L38" s="621">
        <f t="shared" si="9"/>
        <v>4</v>
      </c>
      <c r="M38" s="621">
        <v>8</v>
      </c>
      <c r="N38" s="621">
        <f t="shared" si="10"/>
        <v>1.6</v>
      </c>
      <c r="O38" s="660">
        <f t="shared" si="11"/>
        <v>6.4</v>
      </c>
      <c r="P38" s="614">
        <f t="shared" si="18"/>
        <v>352.05</v>
      </c>
      <c r="Q38" s="620">
        <f t="shared" si="16"/>
        <v>1408.2</v>
      </c>
      <c r="R38" s="620">
        <f t="shared" si="12"/>
        <v>1760.25</v>
      </c>
      <c r="S38" s="614">
        <f t="shared" si="19"/>
        <v>563.28000000000009</v>
      </c>
      <c r="T38" s="620">
        <f t="shared" si="17"/>
        <v>2253.1200000000003</v>
      </c>
      <c r="U38" s="620">
        <f t="shared" si="14"/>
        <v>2816.4000000000005</v>
      </c>
      <c r="V38"/>
    </row>
    <row r="39" spans="1:26" ht="30">
      <c r="A39" s="1"/>
      <c r="B39" s="202" t="s">
        <v>637</v>
      </c>
      <c r="C39" s="203" t="s">
        <v>638</v>
      </c>
      <c r="D39" s="203" t="s">
        <v>435</v>
      </c>
      <c r="E39" s="204">
        <v>352.05</v>
      </c>
      <c r="F39" s="205"/>
      <c r="G39" s="206">
        <v>0</v>
      </c>
      <c r="H39" s="290">
        <v>1</v>
      </c>
      <c r="I39" s="903">
        <v>13</v>
      </c>
      <c r="J39" s="621">
        <v>13</v>
      </c>
      <c r="K39" s="621">
        <f t="shared" si="8"/>
        <v>2.6</v>
      </c>
      <c r="L39" s="621">
        <f t="shared" si="9"/>
        <v>10.4</v>
      </c>
      <c r="M39" s="621">
        <v>14</v>
      </c>
      <c r="N39" s="621">
        <f t="shared" si="10"/>
        <v>2.8000000000000003</v>
      </c>
      <c r="O39" s="660">
        <f t="shared" si="11"/>
        <v>11.2</v>
      </c>
      <c r="P39" s="614">
        <f t="shared" si="18"/>
        <v>915.33</v>
      </c>
      <c r="Q39" s="620">
        <f t="shared" si="16"/>
        <v>3661.32</v>
      </c>
      <c r="R39" s="620">
        <f t="shared" si="12"/>
        <v>4576.6500000000005</v>
      </c>
      <c r="S39" s="614">
        <f t="shared" si="19"/>
        <v>985.74000000000012</v>
      </c>
      <c r="T39" s="620">
        <f t="shared" si="17"/>
        <v>3942.96</v>
      </c>
      <c r="U39" s="620">
        <f t="shared" si="14"/>
        <v>4928.7</v>
      </c>
      <c r="V39"/>
    </row>
    <row r="40" spans="1:26" ht="30.75" customHeight="1">
      <c r="A40" s="1"/>
      <c r="B40" s="202" t="s">
        <v>639</v>
      </c>
      <c r="C40" s="203" t="s">
        <v>640</v>
      </c>
      <c r="D40" s="203" t="s">
        <v>435</v>
      </c>
      <c r="E40" s="204">
        <v>352.05</v>
      </c>
      <c r="F40" s="205"/>
      <c r="G40" s="206">
        <v>0</v>
      </c>
      <c r="H40" s="290">
        <v>1</v>
      </c>
      <c r="I40" s="903">
        <v>34</v>
      </c>
      <c r="J40" s="621">
        <v>12</v>
      </c>
      <c r="K40" s="621">
        <f t="shared" si="8"/>
        <v>2.4000000000000004</v>
      </c>
      <c r="L40" s="621">
        <f t="shared" si="9"/>
        <v>9.6</v>
      </c>
      <c r="M40" s="621">
        <v>8</v>
      </c>
      <c r="N40" s="621">
        <f t="shared" si="10"/>
        <v>1.6</v>
      </c>
      <c r="O40" s="660">
        <f t="shared" si="11"/>
        <v>6.4</v>
      </c>
      <c r="P40" s="614">
        <f t="shared" si="18"/>
        <v>844.92000000000019</v>
      </c>
      <c r="Q40" s="620">
        <f t="shared" si="16"/>
        <v>3379.68</v>
      </c>
      <c r="R40" s="620">
        <f t="shared" si="12"/>
        <v>4224.6000000000004</v>
      </c>
      <c r="S40" s="614">
        <f t="shared" si="19"/>
        <v>563.28000000000009</v>
      </c>
      <c r="T40" s="620">
        <f t="shared" si="17"/>
        <v>2253.1200000000003</v>
      </c>
      <c r="U40" s="620">
        <f t="shared" si="14"/>
        <v>2816.4000000000005</v>
      </c>
      <c r="V40" s="282" t="s">
        <v>641</v>
      </c>
    </row>
    <row r="41" spans="1:26" ht="30">
      <c r="A41" s="1"/>
      <c r="B41" s="202" t="s">
        <v>642</v>
      </c>
      <c r="C41" s="487" t="s">
        <v>643</v>
      </c>
      <c r="D41" s="203" t="s">
        <v>435</v>
      </c>
      <c r="E41" s="204">
        <v>1171.3499999999999</v>
      </c>
      <c r="F41" s="205"/>
      <c r="G41" s="206">
        <v>0</v>
      </c>
      <c r="H41" s="290">
        <v>1</v>
      </c>
      <c r="I41" s="903">
        <v>2</v>
      </c>
      <c r="J41" s="621">
        <v>5</v>
      </c>
      <c r="K41" s="621">
        <f t="shared" si="8"/>
        <v>1</v>
      </c>
      <c r="L41" s="621">
        <f t="shared" si="9"/>
        <v>4</v>
      </c>
      <c r="M41" s="655">
        <v>10</v>
      </c>
      <c r="N41" s="655">
        <f t="shared" si="10"/>
        <v>2</v>
      </c>
      <c r="O41" s="659">
        <f t="shared" si="11"/>
        <v>8</v>
      </c>
      <c r="P41" s="614">
        <f t="shared" si="18"/>
        <v>1171.3499999999999</v>
      </c>
      <c r="Q41" s="656">
        <f t="shared" si="16"/>
        <v>4685.3999999999996</v>
      </c>
      <c r="R41" s="656">
        <f t="shared" si="12"/>
        <v>5856.75</v>
      </c>
      <c r="S41" s="614">
        <f t="shared" si="19"/>
        <v>2342.6999999999998</v>
      </c>
      <c r="T41" s="656">
        <f t="shared" si="17"/>
        <v>9370.7999999999993</v>
      </c>
      <c r="U41" s="656">
        <f t="shared" si="14"/>
        <v>11713.5</v>
      </c>
      <c r="V41"/>
    </row>
    <row r="42" spans="1:26" ht="75" customHeight="1">
      <c r="A42" s="1"/>
      <c r="B42" s="288" t="s">
        <v>644</v>
      </c>
      <c r="C42" s="488" t="s">
        <v>518</v>
      </c>
      <c r="D42" s="491" t="s">
        <v>435</v>
      </c>
      <c r="E42" s="205">
        <v>24.89</v>
      </c>
      <c r="F42" s="278"/>
      <c r="G42" s="279">
        <v>7</v>
      </c>
      <c r="H42" s="292">
        <v>1</v>
      </c>
      <c r="I42" s="903">
        <v>20</v>
      </c>
      <c r="J42" s="621"/>
      <c r="K42" s="621">
        <f>K38+K39+K40+K41</f>
        <v>7</v>
      </c>
      <c r="L42" s="621">
        <v>0</v>
      </c>
      <c r="M42" s="658"/>
      <c r="N42" s="658">
        <f>N38+N39+N40+N41</f>
        <v>8</v>
      </c>
      <c r="O42" s="658">
        <v>0</v>
      </c>
      <c r="P42" s="614">
        <f t="shared" si="18"/>
        <v>174.23000000000002</v>
      </c>
      <c r="Q42" s="658">
        <f t="shared" si="16"/>
        <v>0</v>
      </c>
      <c r="R42" s="658">
        <f>P42+Q42</f>
        <v>174.23000000000002</v>
      </c>
      <c r="S42" s="614">
        <v>0</v>
      </c>
      <c r="T42" s="658">
        <f t="shared" si="17"/>
        <v>0</v>
      </c>
      <c r="U42" s="658">
        <f t="shared" si="14"/>
        <v>0</v>
      </c>
      <c r="V42"/>
    </row>
    <row r="43" spans="1:26" s="485" customFormat="1" ht="110.25" customHeight="1">
      <c r="A43" s="484"/>
      <c r="B43" s="289" t="s">
        <v>645</v>
      </c>
      <c r="C43" s="486" t="s">
        <v>646</v>
      </c>
      <c r="D43" s="489" t="s">
        <v>435</v>
      </c>
      <c r="E43" s="490">
        <v>2.75</v>
      </c>
      <c r="F43" s="283"/>
      <c r="G43" s="279">
        <v>7</v>
      </c>
      <c r="H43" s="280">
        <v>1</v>
      </c>
      <c r="I43" s="904">
        <v>84</v>
      </c>
      <c r="J43" s="281"/>
      <c r="K43" s="281">
        <f>SUM(K28:K37)</f>
        <v>1987.0000000000002</v>
      </c>
      <c r="L43" s="281">
        <v>0</v>
      </c>
      <c r="M43" s="483"/>
      <c r="N43" s="483">
        <f>SUM(N28:N37)</f>
        <v>2153</v>
      </c>
      <c r="O43" s="657">
        <v>0</v>
      </c>
      <c r="P43" s="614">
        <f t="shared" si="18"/>
        <v>5464.2500000000009</v>
      </c>
      <c r="Q43" s="657">
        <f t="shared" si="16"/>
        <v>0</v>
      </c>
      <c r="R43" s="657">
        <f t="shared" si="12"/>
        <v>5464.2500000000009</v>
      </c>
      <c r="S43" s="614">
        <v>0</v>
      </c>
      <c r="T43" s="657">
        <f t="shared" si="17"/>
        <v>0</v>
      </c>
      <c r="U43" s="657">
        <f t="shared" si="14"/>
        <v>0</v>
      </c>
    </row>
    <row r="44" spans="1:26" ht="15.75">
      <c r="A44" s="2"/>
      <c r="B44" s="284"/>
      <c r="C44" s="285"/>
      <c r="D44" s="285"/>
      <c r="E44" s="286"/>
      <c r="F44" s="287"/>
      <c r="G44" s="274"/>
      <c r="H44" s="275"/>
      <c r="I44" s="900" t="s">
        <v>32</v>
      </c>
      <c r="J44" s="276"/>
      <c r="K44" s="276"/>
      <c r="L44" s="276"/>
      <c r="M44" s="276"/>
      <c r="N44" s="276"/>
      <c r="O44" s="276"/>
      <c r="P44" s="277">
        <f>SUM(P27:P42)</f>
        <v>1580720.5859999999</v>
      </c>
      <c r="Q44" s="277">
        <f>SUM(Q27:Q42)</f>
        <v>5174226.6720000003</v>
      </c>
      <c r="R44" s="277">
        <f>SUM(R27:R42)</f>
        <v>6754947.2580000004</v>
      </c>
      <c r="S44" s="277">
        <f>SUM(S27:S42)</f>
        <v>1831589.5999999999</v>
      </c>
      <c r="T44" s="320">
        <f>SUM(T27:T42)</f>
        <v>6039196</v>
      </c>
      <c r="U44" s="322">
        <f>SUM(U27:U42)</f>
        <v>7870785.6000000015</v>
      </c>
      <c r="V44"/>
    </row>
    <row r="45" spans="1:26" ht="15.75">
      <c r="A45" s="2"/>
      <c r="B45" s="1646" t="s">
        <v>647</v>
      </c>
      <c r="C45" s="1646"/>
      <c r="D45" s="1646"/>
      <c r="E45" s="1646"/>
      <c r="F45" s="1646"/>
      <c r="G45" s="255"/>
      <c r="H45" s="8"/>
      <c r="I45" s="8"/>
      <c r="J45" s="8"/>
      <c r="K45" s="8"/>
      <c r="L45" s="901"/>
      <c r="M45" s="8"/>
      <c r="N45" s="8"/>
      <c r="O45" s="8"/>
      <c r="P45" s="8"/>
      <c r="Q45" s="8"/>
      <c r="R45" s="8"/>
      <c r="S45" s="8"/>
      <c r="T45" s="8"/>
      <c r="U45" s="8"/>
      <c r="V45" s="493"/>
      <c r="W45" s="8"/>
      <c r="X45" s="8"/>
      <c r="Y45" s="9"/>
      <c r="Z45" s="9"/>
    </row>
    <row r="46" spans="1:26">
      <c r="B46" s="17"/>
      <c r="C46" s="17"/>
      <c r="D46" s="17"/>
      <c r="E46" s="17"/>
      <c r="F46" s="17"/>
      <c r="G46" s="17"/>
      <c r="H46" s="17"/>
      <c r="I46" s="17"/>
      <c r="J46" s="17"/>
      <c r="K46" s="906"/>
      <c r="L46" s="17"/>
      <c r="M46" s="17"/>
      <c r="N46" s="17"/>
      <c r="O46" s="17"/>
      <c r="P46" s="17"/>
      <c r="Q46" s="17"/>
      <c r="R46" s="17"/>
      <c r="S46" s="17"/>
      <c r="T46" s="17"/>
      <c r="U46" s="17"/>
      <c r="V46" s="494"/>
      <c r="W46" s="17"/>
      <c r="X46" s="17"/>
      <c r="Y46" s="17"/>
      <c r="Z46" s="17"/>
    </row>
    <row r="47" spans="1:26">
      <c r="B47" s="17"/>
      <c r="C47" s="17"/>
      <c r="D47" s="17"/>
      <c r="E47" s="17"/>
      <c r="F47" s="17"/>
      <c r="G47" s="17"/>
      <c r="H47" s="17"/>
      <c r="I47" s="17"/>
      <c r="J47" s="17"/>
      <c r="K47" s="17"/>
      <c r="L47" s="17"/>
      <c r="M47" s="17"/>
      <c r="N47" s="17"/>
      <c r="O47" s="17"/>
      <c r="P47" s="17"/>
      <c r="Q47" s="17"/>
      <c r="R47" s="17"/>
      <c r="S47" s="17"/>
      <c r="T47" s="17"/>
      <c r="U47" s="17"/>
      <c r="V47" s="494"/>
      <c r="W47" s="17"/>
      <c r="X47" s="17"/>
      <c r="Y47" s="17"/>
      <c r="Z47" s="17"/>
    </row>
    <row r="48" spans="1:26">
      <c r="B48" s="17"/>
      <c r="C48" s="17"/>
      <c r="D48" s="17"/>
      <c r="E48" s="17"/>
      <c r="F48" s="17"/>
      <c r="G48" s="17"/>
      <c r="H48" s="17"/>
      <c r="I48" s="17"/>
      <c r="J48" s="17"/>
      <c r="K48" s="17"/>
      <c r="L48" s="17"/>
      <c r="M48" s="17"/>
      <c r="N48" s="17"/>
      <c r="O48" s="17"/>
      <c r="P48" s="17"/>
      <c r="Q48" s="17"/>
      <c r="R48" s="17"/>
      <c r="S48" s="17"/>
      <c r="T48" s="17"/>
      <c r="U48" s="17"/>
      <c r="V48" s="494"/>
      <c r="W48" s="17"/>
      <c r="X48" s="17"/>
      <c r="Y48" s="17"/>
      <c r="Z48" s="17"/>
    </row>
    <row r="49" spans="2:26" ht="45">
      <c r="B49" s="207" t="s">
        <v>648</v>
      </c>
      <c r="C49" s="207" t="s">
        <v>649</v>
      </c>
      <c r="D49" s="208" t="s">
        <v>650</v>
      </c>
      <c r="E49" s="208" t="s">
        <v>651</v>
      </c>
      <c r="F49" s="208" t="s">
        <v>652</v>
      </c>
      <c r="G49" s="208"/>
      <c r="H49" s="207" t="s">
        <v>653</v>
      </c>
      <c r="I49" s="207"/>
      <c r="J49" s="207"/>
      <c r="K49" s="207"/>
      <c r="L49" s="208" t="s">
        <v>654</v>
      </c>
      <c r="M49" s="208"/>
      <c r="N49" s="208"/>
      <c r="O49" s="208"/>
      <c r="P49" s="17"/>
      <c r="Q49" s="17"/>
      <c r="S49" s="17"/>
      <c r="T49" s="17"/>
      <c r="U49" s="17"/>
      <c r="V49" s="494"/>
      <c r="W49" s="17"/>
      <c r="X49" s="17"/>
      <c r="Y49" s="17"/>
      <c r="Z49" s="17"/>
    </row>
    <row r="50" spans="2:26" ht="45">
      <c r="B50" s="209" t="s">
        <v>655</v>
      </c>
      <c r="C50" s="210" t="s">
        <v>656</v>
      </c>
      <c r="D50" s="211" t="s">
        <v>657</v>
      </c>
      <c r="E50" s="212">
        <v>13290</v>
      </c>
      <c r="F50" s="213"/>
      <c r="G50" s="213"/>
      <c r="H50" s="212">
        <v>13290</v>
      </c>
      <c r="I50" s="212"/>
      <c r="J50" s="212"/>
      <c r="K50" s="212"/>
      <c r="L50" s="211"/>
      <c r="M50" s="214"/>
      <c r="N50" s="214"/>
      <c r="O50" s="214"/>
      <c r="P50" s="17"/>
      <c r="Q50" s="17"/>
      <c r="R50" s="17"/>
      <c r="S50" s="17"/>
      <c r="T50" s="17"/>
      <c r="U50" s="17"/>
      <c r="V50" s="494"/>
      <c r="W50" s="17"/>
      <c r="X50" s="17"/>
      <c r="Y50" s="17"/>
      <c r="Z50" s="17"/>
    </row>
    <row r="51" spans="2:26" ht="15" customHeight="1">
      <c r="B51" s="215" t="s">
        <v>658</v>
      </c>
      <c r="C51" s="215" t="s">
        <v>659</v>
      </c>
      <c r="D51" s="216" t="s">
        <v>660</v>
      </c>
      <c r="E51" s="217">
        <v>6851</v>
      </c>
      <c r="F51" s="218" t="s">
        <v>661</v>
      </c>
      <c r="G51" s="218"/>
      <c r="H51" s="217">
        <v>7806</v>
      </c>
      <c r="I51" s="217"/>
      <c r="J51" s="217"/>
      <c r="K51" s="217"/>
      <c r="L51" s="216" t="s">
        <v>662</v>
      </c>
      <c r="M51" s="219"/>
      <c r="N51" s="219"/>
      <c r="O51" s="219"/>
    </row>
    <row r="52" spans="2:26" ht="15" customHeight="1">
      <c r="B52" s="209" t="s">
        <v>663</v>
      </c>
      <c r="C52" s="209" t="s">
        <v>664</v>
      </c>
      <c r="D52" s="211" t="s">
        <v>665</v>
      </c>
      <c r="E52" s="212">
        <v>1695</v>
      </c>
      <c r="F52" s="213" t="s">
        <v>666</v>
      </c>
      <c r="G52" s="213"/>
      <c r="H52" s="212">
        <v>7234</v>
      </c>
      <c r="I52" s="212"/>
      <c r="J52" s="212"/>
      <c r="K52" s="212"/>
      <c r="L52" s="211" t="s">
        <v>667</v>
      </c>
      <c r="M52" s="214"/>
      <c r="N52" s="214"/>
      <c r="O52" s="214"/>
    </row>
    <row r="53" spans="2:26" ht="15" customHeight="1">
      <c r="B53" s="215" t="s">
        <v>668</v>
      </c>
      <c r="C53" s="215" t="s">
        <v>659</v>
      </c>
      <c r="D53" s="216" t="s">
        <v>669</v>
      </c>
      <c r="E53" s="217">
        <v>3167</v>
      </c>
      <c r="F53" s="218"/>
      <c r="G53" s="218"/>
      <c r="H53" s="899">
        <v>3167</v>
      </c>
      <c r="I53" s="899"/>
      <c r="J53" s="899"/>
      <c r="K53" s="899"/>
      <c r="L53" s="216"/>
      <c r="M53" s="219"/>
      <c r="N53" s="219"/>
      <c r="O53" s="219"/>
    </row>
    <row r="54" spans="2:26" ht="15" customHeight="1">
      <c r="F54" s="220" t="s">
        <v>670</v>
      </c>
      <c r="G54" s="220"/>
    </row>
    <row r="55" spans="2:26" ht="15" customHeight="1">
      <c r="H55" s="613">
        <f>M4</f>
        <v>0</v>
      </c>
      <c r="I55" s="318"/>
      <c r="J55" s="318"/>
      <c r="K55" s="318"/>
      <c r="L55" s="318" t="s">
        <v>671</v>
      </c>
    </row>
    <row r="56" spans="2:26" ht="15" customHeight="1">
      <c r="B56" s="221" t="s">
        <v>672</v>
      </c>
      <c r="H56" s="613">
        <f>M6</f>
        <v>0</v>
      </c>
      <c r="I56" s="318"/>
      <c r="J56" s="318"/>
      <c r="K56" s="318"/>
      <c r="L56" s="318" t="s">
        <v>673</v>
      </c>
    </row>
    <row r="57" spans="2:26" ht="15" customHeight="1">
      <c r="B57" s="219"/>
    </row>
    <row r="58" spans="2:26" ht="15" customHeight="1">
      <c r="B58" s="222" t="s">
        <v>674</v>
      </c>
    </row>
    <row r="59" spans="2:26" ht="15" customHeight="1">
      <c r="B59" s="223" t="s">
        <v>675</v>
      </c>
    </row>
    <row r="60" spans="2:26" ht="15" customHeight="1">
      <c r="B60" s="222" t="s">
        <v>676</v>
      </c>
    </row>
    <row r="61" spans="2:26" ht="15" customHeight="1">
      <c r="B61" s="222"/>
    </row>
    <row r="62" spans="2:26" ht="15" customHeight="1">
      <c r="B62" s="222" t="s">
        <v>677</v>
      </c>
    </row>
    <row r="63" spans="2:26" ht="15" customHeight="1">
      <c r="B63" s="223" t="s">
        <v>678</v>
      </c>
    </row>
    <row r="64" spans="2:26" ht="15" customHeight="1">
      <c r="B64" s="222"/>
    </row>
    <row r="65" spans="2:2" ht="15" customHeight="1">
      <c r="B65" s="222" t="s">
        <v>679</v>
      </c>
    </row>
    <row r="66" spans="2:2" ht="15" customHeight="1">
      <c r="B66" s="223" t="s">
        <v>680</v>
      </c>
    </row>
    <row r="67" spans="2:2" ht="15" customHeight="1">
      <c r="B67" s="222"/>
    </row>
    <row r="68" spans="2:2" ht="15" customHeight="1">
      <c r="B68" s="222" t="s">
        <v>681</v>
      </c>
    </row>
    <row r="69" spans="2:2" ht="15" customHeight="1">
      <c r="B69" s="223" t="s">
        <v>682</v>
      </c>
    </row>
  </sheetData>
  <mergeCells count="32">
    <mergeCell ref="V12:V14"/>
    <mergeCell ref="C12:C14"/>
    <mergeCell ref="G13:I13"/>
    <mergeCell ref="M13:O13"/>
    <mergeCell ref="D12:S12"/>
    <mergeCell ref="U12:U14"/>
    <mergeCell ref="T12:T14"/>
    <mergeCell ref="S13:S14"/>
    <mergeCell ref="R13:R14"/>
    <mergeCell ref="Q13:Q14"/>
    <mergeCell ref="P13:P14"/>
    <mergeCell ref="O8:O9"/>
    <mergeCell ref="M8:M9"/>
    <mergeCell ref="B2:H2"/>
    <mergeCell ref="N8:N9"/>
    <mergeCell ref="B45:F45"/>
    <mergeCell ref="B12:B14"/>
    <mergeCell ref="G25:G26"/>
    <mergeCell ref="H25:H26"/>
    <mergeCell ref="I25:I26"/>
    <mergeCell ref="U25:U26"/>
    <mergeCell ref="T25:T26"/>
    <mergeCell ref="D13:F13"/>
    <mergeCell ref="B25:B26"/>
    <mergeCell ref="C25:C26"/>
    <mergeCell ref="E25:E26"/>
    <mergeCell ref="F25:F26"/>
    <mergeCell ref="J25:O25"/>
    <mergeCell ref="P25:P26"/>
    <mergeCell ref="Q25:Q26"/>
    <mergeCell ref="S25:S26"/>
    <mergeCell ref="R25:R26"/>
  </mergeCells>
  <phoneticPr fontId="84" type="noConversion"/>
  <hyperlinks>
    <hyperlink ref="B59" r:id="rId1" xr:uid="{88589119-7EE1-40EF-A142-3BCEFF38CDEF}"/>
    <hyperlink ref="B63" r:id="rId2" xr:uid="{5709B979-9D1E-4714-9229-A243418A0873}"/>
    <hyperlink ref="B66" r:id="rId3" xr:uid="{183D66B5-17FD-494C-8FFC-4292D5EC1D1B}"/>
    <hyperlink ref="B69" r:id="rId4" xr:uid="{5CD076DD-C201-41CF-8817-26E9C2797536}"/>
  </hyperlinks>
  <pageMargins left="0.7" right="0.7" top="0.75" bottom="0.75" header="0.3" footer="0.3"/>
  <pageSetup scale="18" orientation="portrait" r:id="rId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BCBAE-0086-4D70-A720-E0A8E6F04722}">
  <sheetPr>
    <tabColor theme="7" tint="0.79998168889431442"/>
  </sheetPr>
  <dimension ref="A1:AE29"/>
  <sheetViews>
    <sheetView view="pageBreakPreview" topLeftCell="C1" zoomScale="60" zoomScaleNormal="90" workbookViewId="0">
      <selection activeCell="E4" sqref="E4"/>
    </sheetView>
  </sheetViews>
  <sheetFormatPr defaultRowHeight="15"/>
  <cols>
    <col min="1" max="1" width="13.42578125" customWidth="1"/>
    <col min="2" max="3" width="31" customWidth="1"/>
    <col min="4" max="4" width="29.28515625" customWidth="1"/>
    <col min="5" max="5" width="22.7109375" customWidth="1"/>
    <col min="6" max="6" width="14.7109375" customWidth="1"/>
    <col min="7" max="7" width="15.5703125" customWidth="1"/>
    <col min="8" max="8" width="11.42578125" customWidth="1"/>
    <col min="9" max="9" width="14.28515625" customWidth="1"/>
    <col min="10" max="10" width="21.5703125" customWidth="1"/>
    <col min="11" max="11" width="15.42578125" customWidth="1"/>
    <col min="12" max="12" width="11.5703125" customWidth="1"/>
    <col min="13" max="13" width="12" customWidth="1"/>
    <col min="14" max="14" width="20.140625" customWidth="1"/>
    <col min="15" max="15" width="19" customWidth="1"/>
    <col min="16" max="16" width="13.7109375" customWidth="1"/>
    <col min="17" max="17" width="14.5703125" customWidth="1"/>
    <col min="19" max="19" width="14.140625" customWidth="1"/>
    <col min="30" max="30" width="13.5703125" customWidth="1"/>
  </cols>
  <sheetData>
    <row r="1" spans="1:31">
      <c r="A1" s="1"/>
      <c r="B1" s="1"/>
      <c r="C1" s="1"/>
      <c r="D1" s="1"/>
      <c r="E1" s="1"/>
      <c r="F1" s="1"/>
      <c r="G1" s="1"/>
      <c r="H1" s="1"/>
      <c r="I1" s="1"/>
      <c r="J1" s="1"/>
      <c r="K1" s="1"/>
      <c r="L1" s="1"/>
      <c r="Q1" s="168" t="s">
        <v>942</v>
      </c>
    </row>
    <row r="2" spans="1:31" ht="15.75">
      <c r="A2" s="1"/>
      <c r="D2" s="1176" t="s">
        <v>940</v>
      </c>
      <c r="E2" s="1177"/>
      <c r="F2" s="1"/>
      <c r="G2" s="1"/>
      <c r="H2" s="1"/>
      <c r="I2" s="1"/>
      <c r="J2" s="1"/>
      <c r="K2" s="1"/>
      <c r="L2" s="1"/>
    </row>
    <row r="3" spans="1:31">
      <c r="A3" s="1"/>
      <c r="B3" s="1"/>
      <c r="C3" s="1"/>
      <c r="D3" s="1"/>
      <c r="E3" s="1"/>
      <c r="F3" s="1"/>
      <c r="G3" s="1"/>
      <c r="H3" s="1"/>
      <c r="I3" s="1"/>
      <c r="J3" s="1"/>
      <c r="K3" s="1"/>
      <c r="L3" s="1"/>
    </row>
    <row r="4" spans="1:31" ht="75">
      <c r="A4" s="1"/>
      <c r="B4" s="4" t="s">
        <v>200</v>
      </c>
      <c r="C4" s="5" t="s">
        <v>227</v>
      </c>
      <c r="D4" s="5" t="s">
        <v>228</v>
      </c>
      <c r="E4" s="5" t="s">
        <v>339</v>
      </c>
      <c r="F4" s="1"/>
      <c r="G4" s="1"/>
      <c r="H4" s="1"/>
      <c r="I4" s="1"/>
      <c r="J4" s="1"/>
      <c r="K4" s="1"/>
      <c r="L4" s="1"/>
    </row>
    <row r="5" spans="1:31" ht="46.5" customHeight="1">
      <c r="A5" s="1"/>
      <c r="B5" s="86" t="s">
        <v>86</v>
      </c>
      <c r="C5" s="691">
        <v>0</v>
      </c>
      <c r="D5" s="21">
        <f>J23</f>
        <v>247567.5128</v>
      </c>
      <c r="E5" s="21">
        <f>N23</f>
        <v>346594.51792000001</v>
      </c>
      <c r="F5" s="1"/>
      <c r="G5" s="1"/>
      <c r="H5" s="1"/>
      <c r="I5" s="1"/>
      <c r="J5" s="1"/>
      <c r="K5" s="1"/>
      <c r="L5" s="1"/>
    </row>
    <row r="6" spans="1:31" ht="15.75">
      <c r="A6" s="2"/>
      <c r="B6" s="2"/>
      <c r="C6" s="2"/>
      <c r="D6" s="2"/>
      <c r="E6" s="2"/>
      <c r="F6" s="2"/>
      <c r="G6" s="2"/>
      <c r="H6" s="2"/>
      <c r="I6" s="2"/>
      <c r="J6" s="2"/>
      <c r="K6" s="3"/>
      <c r="L6" s="3"/>
    </row>
    <row r="7" spans="1:31" ht="29.25" customHeight="1">
      <c r="A7" s="22" t="s">
        <v>32</v>
      </c>
      <c r="B7" s="32" t="s">
        <v>32</v>
      </c>
      <c r="C7" s="32"/>
      <c r="D7" s="22" t="s">
        <v>32</v>
      </c>
      <c r="E7" s="22" t="s">
        <v>32</v>
      </c>
      <c r="F7" s="41" t="s">
        <v>32</v>
      </c>
      <c r="G7" s="42" t="s">
        <v>316</v>
      </c>
      <c r="H7" s="43" t="s">
        <v>317</v>
      </c>
      <c r="I7" s="43" t="s">
        <v>318</v>
      </c>
      <c r="J7" s="43" t="s">
        <v>319</v>
      </c>
      <c r="K7" s="41" t="s">
        <v>32</v>
      </c>
      <c r="L7" s="44" t="s">
        <v>32</v>
      </c>
      <c r="M7" s="44" t="s">
        <v>32</v>
      </c>
      <c r="N7" s="44" t="s">
        <v>32</v>
      </c>
      <c r="O7" s="1668" t="s">
        <v>340</v>
      </c>
      <c r="P7" s="1668" t="s">
        <v>341</v>
      </c>
      <c r="Q7" s="1668" t="s">
        <v>342</v>
      </c>
      <c r="R7" s="22" t="s">
        <v>32</v>
      </c>
      <c r="S7" s="22" t="s">
        <v>32</v>
      </c>
      <c r="T7" s="22" t="s">
        <v>32</v>
      </c>
      <c r="U7" s="22" t="s">
        <v>32</v>
      </c>
      <c r="V7" s="22" t="s">
        <v>32</v>
      </c>
      <c r="W7" s="22" t="s">
        <v>32</v>
      </c>
      <c r="X7" s="22" t="s">
        <v>32</v>
      </c>
      <c r="Y7" s="22" t="s">
        <v>32</v>
      </c>
      <c r="Z7" s="22" t="s">
        <v>32</v>
      </c>
      <c r="AA7" s="22" t="s">
        <v>32</v>
      </c>
      <c r="AB7" s="22" t="s">
        <v>32</v>
      </c>
      <c r="AC7" s="22" t="s">
        <v>32</v>
      </c>
      <c r="AD7" s="22" t="s">
        <v>32</v>
      </c>
      <c r="AE7" s="22" t="s">
        <v>32</v>
      </c>
    </row>
    <row r="8" spans="1:31" ht="34.5" customHeight="1">
      <c r="A8" s="22" t="s">
        <v>32</v>
      </c>
      <c r="B8" s="22" t="s">
        <v>32</v>
      </c>
      <c r="C8" s="22"/>
      <c r="D8" s="22" t="s">
        <v>32</v>
      </c>
      <c r="E8" s="22" t="s">
        <v>32</v>
      </c>
      <c r="F8" s="41" t="s">
        <v>320</v>
      </c>
      <c r="G8" s="45">
        <v>2304</v>
      </c>
      <c r="H8" s="46">
        <v>1388</v>
      </c>
      <c r="I8" s="46">
        <v>925</v>
      </c>
      <c r="J8" s="47" t="s">
        <v>32</v>
      </c>
      <c r="K8" s="44" t="s">
        <v>32</v>
      </c>
      <c r="L8" s="44" t="s">
        <v>32</v>
      </c>
      <c r="M8" s="44" t="s">
        <v>32</v>
      </c>
      <c r="N8" s="44" t="s">
        <v>32</v>
      </c>
      <c r="O8" s="1669"/>
      <c r="P8" s="1669"/>
      <c r="Q8" s="1669"/>
      <c r="R8" s="22" t="s">
        <v>32</v>
      </c>
      <c r="S8" s="22" t="s">
        <v>32</v>
      </c>
      <c r="T8" s="22" t="s">
        <v>32</v>
      </c>
      <c r="U8" s="22" t="s">
        <v>32</v>
      </c>
      <c r="V8" s="22" t="s">
        <v>32</v>
      </c>
      <c r="W8" s="22" t="s">
        <v>32</v>
      </c>
      <c r="X8" s="22" t="s">
        <v>32</v>
      </c>
      <c r="Y8" s="22" t="s">
        <v>32</v>
      </c>
      <c r="Z8" s="22" t="s">
        <v>32</v>
      </c>
      <c r="AA8" s="22" t="s">
        <v>32</v>
      </c>
      <c r="AB8" s="22" t="s">
        <v>32</v>
      </c>
      <c r="AC8" s="22" t="s">
        <v>32</v>
      </c>
      <c r="AD8" s="22" t="s">
        <v>32</v>
      </c>
      <c r="AE8" s="22" t="s">
        <v>32</v>
      </c>
    </row>
    <row r="9" spans="1:31" ht="45">
      <c r="A9" s="22" t="s">
        <v>32</v>
      </c>
      <c r="B9" s="22" t="s">
        <v>32</v>
      </c>
      <c r="C9" s="22"/>
      <c r="D9" s="22" t="s">
        <v>32</v>
      </c>
      <c r="E9" s="22" t="s">
        <v>32</v>
      </c>
      <c r="F9" s="41" t="s">
        <v>321</v>
      </c>
      <c r="G9" s="48">
        <f>ROUND(G8/9600,4)</f>
        <v>0.24</v>
      </c>
      <c r="H9" s="48">
        <f t="shared" ref="H9:I9" si="0">ROUND(H8/9600,4)</f>
        <v>0.14460000000000001</v>
      </c>
      <c r="I9" s="48">
        <f t="shared" si="0"/>
        <v>9.64E-2</v>
      </c>
      <c r="J9" s="47">
        <v>0.2359</v>
      </c>
      <c r="K9" s="44" t="s">
        <v>32</v>
      </c>
      <c r="L9" s="44" t="s">
        <v>32</v>
      </c>
      <c r="M9" s="44" t="s">
        <v>32</v>
      </c>
      <c r="N9" s="44" t="s">
        <v>343</v>
      </c>
      <c r="O9" s="49">
        <v>0.28570000000000001</v>
      </c>
      <c r="P9" s="50">
        <v>2.0199999999999999E-2</v>
      </c>
      <c r="Q9" s="50">
        <v>3.2199999999999999E-2</v>
      </c>
      <c r="R9" s="22" t="s">
        <v>32</v>
      </c>
      <c r="S9" s="22" t="s">
        <v>32</v>
      </c>
      <c r="T9" s="22" t="s">
        <v>32</v>
      </c>
      <c r="U9" s="22" t="s">
        <v>32</v>
      </c>
      <c r="V9" s="22" t="s">
        <v>32</v>
      </c>
      <c r="W9" s="22" t="s">
        <v>32</v>
      </c>
      <c r="X9" s="22" t="s">
        <v>32</v>
      </c>
      <c r="Y9" s="22" t="s">
        <v>32</v>
      </c>
      <c r="Z9" s="22" t="s">
        <v>32</v>
      </c>
      <c r="AA9" s="22" t="s">
        <v>32</v>
      </c>
      <c r="AB9" s="22" t="s">
        <v>32</v>
      </c>
      <c r="AC9" s="22" t="s">
        <v>32</v>
      </c>
      <c r="AD9" s="22" t="s">
        <v>32</v>
      </c>
      <c r="AE9" s="22" t="s">
        <v>32</v>
      </c>
    </row>
    <row r="10" spans="1:31">
      <c r="A10" s="22" t="s">
        <v>32</v>
      </c>
      <c r="B10" s="22" t="s">
        <v>32</v>
      </c>
      <c r="C10" s="22"/>
      <c r="D10" s="22" t="s">
        <v>32</v>
      </c>
      <c r="E10" s="22" t="s">
        <v>32</v>
      </c>
      <c r="F10" s="23" t="s">
        <v>32</v>
      </c>
      <c r="G10" s="22" t="s">
        <v>32</v>
      </c>
      <c r="H10" s="22" t="s">
        <v>32</v>
      </c>
      <c r="I10" s="22" t="s">
        <v>32</v>
      </c>
      <c r="J10" s="22" t="s">
        <v>32</v>
      </c>
      <c r="K10" s="22" t="s">
        <v>32</v>
      </c>
      <c r="L10" s="22" t="s">
        <v>32</v>
      </c>
      <c r="M10" s="22" t="s">
        <v>32</v>
      </c>
      <c r="N10" s="22" t="s">
        <v>32</v>
      </c>
      <c r="O10" s="22" t="s">
        <v>32</v>
      </c>
      <c r="P10" s="22" t="s">
        <v>32</v>
      </c>
      <c r="Q10" s="22" t="s">
        <v>32</v>
      </c>
      <c r="R10" s="22" t="s">
        <v>32</v>
      </c>
      <c r="S10" s="22" t="s">
        <v>32</v>
      </c>
      <c r="T10" s="22" t="s">
        <v>32</v>
      </c>
      <c r="U10" s="22" t="s">
        <v>32</v>
      </c>
      <c r="V10" s="22" t="s">
        <v>32</v>
      </c>
      <c r="W10" s="22" t="s">
        <v>32</v>
      </c>
      <c r="X10" s="22" t="s">
        <v>32</v>
      </c>
      <c r="Y10" s="22" t="s">
        <v>32</v>
      </c>
      <c r="Z10" s="22" t="s">
        <v>32</v>
      </c>
      <c r="AA10" s="22" t="s">
        <v>32</v>
      </c>
      <c r="AB10" s="22" t="s">
        <v>32</v>
      </c>
      <c r="AC10" s="22" t="s">
        <v>32</v>
      </c>
      <c r="AD10" s="22" t="s">
        <v>32</v>
      </c>
      <c r="AE10" s="22" t="s">
        <v>32</v>
      </c>
    </row>
    <row r="11" spans="1:31" ht="19.5" customHeight="1">
      <c r="A11" s="1664" t="s">
        <v>232</v>
      </c>
      <c r="B11" s="1664" t="s">
        <v>231</v>
      </c>
      <c r="C11" s="940" t="s">
        <v>344</v>
      </c>
      <c r="D11" s="940"/>
      <c r="E11" s="940"/>
      <c r="F11" s="940"/>
      <c r="G11" s="940"/>
      <c r="H11" s="940"/>
      <c r="I11" s="940"/>
      <c r="J11" s="940"/>
      <c r="K11" s="940"/>
      <c r="L11" s="941"/>
      <c r="M11" s="940" t="s">
        <v>32</v>
      </c>
      <c r="N11" s="940"/>
      <c r="O11" s="940"/>
      <c r="P11" s="941"/>
      <c r="Q11" s="1653" t="s">
        <v>345</v>
      </c>
      <c r="R11" s="1653" t="s">
        <v>346</v>
      </c>
      <c r="S11" s="1653" t="s">
        <v>233</v>
      </c>
      <c r="T11" s="24" t="s">
        <v>32</v>
      </c>
      <c r="U11" s="24" t="s">
        <v>32</v>
      </c>
      <c r="V11" s="24" t="s">
        <v>32</v>
      </c>
      <c r="W11" s="24" t="s">
        <v>32</v>
      </c>
      <c r="X11" s="24" t="s">
        <v>32</v>
      </c>
      <c r="Y11" s="24" t="s">
        <v>32</v>
      </c>
      <c r="Z11" s="24" t="s">
        <v>32</v>
      </c>
      <c r="AA11" s="24" t="s">
        <v>32</v>
      </c>
      <c r="AB11" s="24" t="s">
        <v>32</v>
      </c>
      <c r="AC11" s="24" t="s">
        <v>32</v>
      </c>
      <c r="AD11" s="24" t="s">
        <v>32</v>
      </c>
    </row>
    <row r="12" spans="1:31" ht="43.5" customHeight="1">
      <c r="A12" s="1665"/>
      <c r="B12" s="1665"/>
      <c r="C12" s="1661" t="s">
        <v>347</v>
      </c>
      <c r="D12" s="1662"/>
      <c r="E12" s="1663"/>
      <c r="F12" s="1661" t="s">
        <v>348</v>
      </c>
      <c r="G12" s="1662"/>
      <c r="H12" s="1663"/>
      <c r="I12" s="25" t="s">
        <v>384</v>
      </c>
      <c r="J12" s="1661" t="s">
        <v>350</v>
      </c>
      <c r="K12" s="1662"/>
      <c r="L12" s="1663"/>
      <c r="M12" s="1653" t="s">
        <v>351</v>
      </c>
      <c r="N12" s="1653" t="s">
        <v>352</v>
      </c>
      <c r="O12" s="1653" t="s">
        <v>353</v>
      </c>
      <c r="P12" s="1653" t="s">
        <v>354</v>
      </c>
      <c r="Q12" s="1654"/>
      <c r="R12" s="1654"/>
      <c r="S12" s="1654"/>
      <c r="T12" s="26" t="s">
        <v>32</v>
      </c>
      <c r="U12" s="26" t="s">
        <v>32</v>
      </c>
      <c r="V12" s="26" t="s">
        <v>32</v>
      </c>
      <c r="W12" s="26" t="s">
        <v>32</v>
      </c>
      <c r="X12" s="26" t="s">
        <v>32</v>
      </c>
      <c r="Y12" s="26" t="s">
        <v>32</v>
      </c>
      <c r="Z12" s="26" t="s">
        <v>32</v>
      </c>
      <c r="AA12" s="26" t="s">
        <v>32</v>
      </c>
      <c r="AB12" s="26" t="s">
        <v>32</v>
      </c>
      <c r="AC12" s="26" t="s">
        <v>32</v>
      </c>
      <c r="AD12" s="26" t="s">
        <v>32</v>
      </c>
    </row>
    <row r="13" spans="1:31" ht="29.25" customHeight="1">
      <c r="A13" s="1666"/>
      <c r="B13" s="1666"/>
      <c r="C13" s="1184" t="s">
        <v>355</v>
      </c>
      <c r="D13" s="1184" t="s">
        <v>356</v>
      </c>
      <c r="E13" s="1184" t="s">
        <v>357</v>
      </c>
      <c r="F13" s="1184" t="s">
        <v>355</v>
      </c>
      <c r="G13" s="1184" t="s">
        <v>356</v>
      </c>
      <c r="H13" s="1184" t="s">
        <v>358</v>
      </c>
      <c r="I13" s="1184" t="s">
        <v>359</v>
      </c>
      <c r="J13" s="1184" t="s">
        <v>360</v>
      </c>
      <c r="K13" s="1184" t="s">
        <v>361</v>
      </c>
      <c r="L13" s="1184" t="s">
        <v>362</v>
      </c>
      <c r="M13" s="1655"/>
      <c r="N13" s="1655"/>
      <c r="O13" s="1655"/>
      <c r="P13" s="1655"/>
      <c r="Q13" s="1655"/>
      <c r="R13" s="1655"/>
      <c r="S13" s="1655"/>
      <c r="T13" s="40" t="s">
        <v>385</v>
      </c>
      <c r="U13" s="40" t="s">
        <v>386</v>
      </c>
      <c r="V13" s="40" t="s">
        <v>387</v>
      </c>
      <c r="W13" s="40" t="s">
        <v>388</v>
      </c>
      <c r="X13" s="40" t="s">
        <v>389</v>
      </c>
      <c r="Y13" s="40" t="s">
        <v>390</v>
      </c>
      <c r="Z13" s="40" t="s">
        <v>391</v>
      </c>
      <c r="AA13" s="40" t="s">
        <v>392</v>
      </c>
      <c r="AB13" s="1184" t="s">
        <v>393</v>
      </c>
      <c r="AC13" s="1184" t="s">
        <v>394</v>
      </c>
      <c r="AD13" s="40" t="s">
        <v>395</v>
      </c>
    </row>
    <row r="14" spans="1:31">
      <c r="A14" s="30">
        <v>1</v>
      </c>
      <c r="B14" s="1180">
        <v>2</v>
      </c>
      <c r="C14" s="1180">
        <v>3</v>
      </c>
      <c r="D14" s="27">
        <v>4</v>
      </c>
      <c r="E14" s="31">
        <v>5</v>
      </c>
      <c r="F14" s="27">
        <v>6</v>
      </c>
      <c r="G14" s="27">
        <v>7</v>
      </c>
      <c r="H14" s="27">
        <v>8</v>
      </c>
      <c r="I14" s="27">
        <v>9</v>
      </c>
      <c r="J14" s="27" t="s">
        <v>500</v>
      </c>
      <c r="K14" s="27">
        <v>11</v>
      </c>
      <c r="L14" s="27">
        <v>12</v>
      </c>
      <c r="M14" s="27">
        <v>13</v>
      </c>
      <c r="N14" s="27">
        <v>14</v>
      </c>
      <c r="O14" s="27">
        <v>15</v>
      </c>
      <c r="P14" s="27">
        <v>16</v>
      </c>
      <c r="Q14" s="27">
        <v>17</v>
      </c>
      <c r="R14" s="27">
        <v>18</v>
      </c>
      <c r="S14" s="27">
        <v>19</v>
      </c>
      <c r="T14" s="27">
        <v>20</v>
      </c>
      <c r="U14" s="27">
        <v>21</v>
      </c>
      <c r="V14" s="27">
        <v>22</v>
      </c>
      <c r="W14" s="27">
        <v>23</v>
      </c>
      <c r="X14" s="27">
        <v>24</v>
      </c>
      <c r="Y14" s="27">
        <v>25</v>
      </c>
      <c r="Z14" s="27">
        <v>26</v>
      </c>
      <c r="AA14" s="27">
        <v>27</v>
      </c>
      <c r="AB14" s="27">
        <v>28</v>
      </c>
      <c r="AC14" s="27">
        <v>29</v>
      </c>
      <c r="AD14" s="27">
        <v>30</v>
      </c>
    </row>
    <row r="15" spans="1:31" ht="48.75" customHeight="1">
      <c r="A15" s="1183" t="s">
        <v>415</v>
      </c>
      <c r="B15" s="1181" t="s">
        <v>685</v>
      </c>
      <c r="C15" s="49">
        <v>240</v>
      </c>
      <c r="D15" s="84">
        <v>280</v>
      </c>
      <c r="E15" s="84">
        <v>0</v>
      </c>
      <c r="F15" s="85">
        <f>C15*G9</f>
        <v>57.599999999999994</v>
      </c>
      <c r="G15" s="85">
        <f>D15*H9</f>
        <v>40.488</v>
      </c>
      <c r="H15" s="84">
        <v>0</v>
      </c>
      <c r="I15" s="35">
        <f>(F15+G15)*J9</f>
        <v>23.138959199999999</v>
      </c>
      <c r="J15" s="33">
        <f>K15+L15</f>
        <v>2287.71</v>
      </c>
      <c r="K15" s="33">
        <v>86.34</v>
      </c>
      <c r="L15" s="33">
        <v>2201.37</v>
      </c>
      <c r="M15" s="34">
        <v>19.100000000000001</v>
      </c>
      <c r="N15" s="35">
        <f>(F15+G15)*O9</f>
        <v>28.023741599999997</v>
      </c>
      <c r="O15" s="35">
        <f>(F15+G15)*P9</f>
        <v>1.9813775999999999</v>
      </c>
      <c r="P15" s="35">
        <f>(F15+G15)*Q9</f>
        <v>3.1584336</v>
      </c>
      <c r="Q15" s="36">
        <f>F15+G15+I15+J15+M15+N15+O15+P15</f>
        <v>2461.2005119999999</v>
      </c>
      <c r="R15" s="37">
        <v>0</v>
      </c>
      <c r="S15" s="36">
        <f>Q15-R15</f>
        <v>2461.2005119999999</v>
      </c>
      <c r="T15" s="38">
        <f>F15+G15</f>
        <v>98.087999999999994</v>
      </c>
      <c r="U15" s="33">
        <f>I15</f>
        <v>23.138959199999999</v>
      </c>
      <c r="V15" s="33">
        <f>J15</f>
        <v>2287.71</v>
      </c>
      <c r="W15" s="33">
        <v>0</v>
      </c>
      <c r="X15" s="39">
        <f>N15</f>
        <v>28.023741599999997</v>
      </c>
      <c r="Y15" s="39">
        <f>O15</f>
        <v>1.9813775999999999</v>
      </c>
      <c r="Z15" s="39">
        <f>M15+P15</f>
        <v>22.2584336</v>
      </c>
      <c r="AA15" s="33">
        <v>0</v>
      </c>
      <c r="AB15" s="39">
        <f>SUM(T15:AA15)</f>
        <v>2461.2005119999999</v>
      </c>
      <c r="AC15" s="33">
        <v>0</v>
      </c>
      <c r="AD15" s="39">
        <f>AB15-AC15</f>
        <v>2461.2005119999999</v>
      </c>
    </row>
    <row r="16" spans="1:31" ht="78" customHeight="1">
      <c r="A16" s="1183" t="s">
        <v>415</v>
      </c>
      <c r="B16" s="83" t="s">
        <v>686</v>
      </c>
      <c r="C16" s="49">
        <v>0</v>
      </c>
      <c r="D16" s="84">
        <v>0</v>
      </c>
      <c r="E16" s="84">
        <v>0</v>
      </c>
      <c r="F16" s="85">
        <f>C16*G9</f>
        <v>0</v>
      </c>
      <c r="G16" s="85">
        <f>D16*H9</f>
        <v>0</v>
      </c>
      <c r="H16" s="84">
        <v>0</v>
      </c>
      <c r="I16" s="35">
        <f>(F16+G16)*J9</f>
        <v>0</v>
      </c>
      <c r="J16" s="33">
        <f>K16+L16</f>
        <v>7441.5</v>
      </c>
      <c r="K16" s="33">
        <v>0</v>
      </c>
      <c r="L16" s="33">
        <v>7441.5</v>
      </c>
      <c r="M16" s="34">
        <v>0</v>
      </c>
      <c r="N16" s="35">
        <f>(F16+G16)*O9</f>
        <v>0</v>
      </c>
      <c r="O16" s="35">
        <f>(F16+G16)*P9</f>
        <v>0</v>
      </c>
      <c r="P16" s="35">
        <f>(F16+G16)*Q9</f>
        <v>0</v>
      </c>
      <c r="Q16" s="36">
        <f>F16+G16+I16+J16+M16+N16+O16+P16</f>
        <v>7441.5</v>
      </c>
      <c r="R16" s="37">
        <v>0</v>
      </c>
      <c r="S16" s="36">
        <f>Q16-R16</f>
        <v>7441.5</v>
      </c>
      <c r="T16" s="38">
        <f>F16+G16</f>
        <v>0</v>
      </c>
      <c r="U16" s="33">
        <f>I16</f>
        <v>0</v>
      </c>
      <c r="V16" s="33">
        <f>J16</f>
        <v>7441.5</v>
      </c>
      <c r="W16" s="33">
        <v>0</v>
      </c>
      <c r="X16" s="39">
        <f>N16</f>
        <v>0</v>
      </c>
      <c r="Y16" s="39">
        <f>O16</f>
        <v>0</v>
      </c>
      <c r="Z16" s="39">
        <f>M16+P16</f>
        <v>0</v>
      </c>
      <c r="AA16" s="33">
        <v>0</v>
      </c>
      <c r="AB16" s="39">
        <f>SUM(T16:AA16)</f>
        <v>7441.5</v>
      </c>
      <c r="AC16" s="33">
        <v>0</v>
      </c>
      <c r="AD16" s="39">
        <f>AB16-AC16</f>
        <v>7441.5</v>
      </c>
    </row>
    <row r="17" spans="1:16" ht="15.75">
      <c r="A17" s="2"/>
      <c r="B17" s="2"/>
      <c r="C17" s="2"/>
      <c r="D17" s="2"/>
      <c r="E17" s="2"/>
      <c r="F17" s="2"/>
      <c r="G17" s="2"/>
      <c r="H17" s="2"/>
      <c r="I17" s="2"/>
      <c r="J17" s="3"/>
      <c r="K17" s="3"/>
    </row>
    <row r="18" spans="1:16" ht="15.75">
      <c r="A18" s="2"/>
      <c r="B18" s="2"/>
      <c r="C18" s="2"/>
      <c r="D18" s="2"/>
      <c r="E18" s="2"/>
      <c r="F18" s="2"/>
      <c r="G18" s="2"/>
      <c r="H18" s="2"/>
      <c r="I18" s="2"/>
      <c r="J18" s="3"/>
      <c r="K18" s="3"/>
    </row>
    <row r="19" spans="1:16" ht="67.5" customHeight="1">
      <c r="A19" s="1"/>
      <c r="B19" s="1670" t="s">
        <v>232</v>
      </c>
      <c r="C19" s="1656" t="s">
        <v>231</v>
      </c>
      <c r="D19" s="1656" t="s">
        <v>249</v>
      </c>
      <c r="E19" s="1656" t="s">
        <v>250</v>
      </c>
      <c r="F19" s="1656" t="s">
        <v>251</v>
      </c>
      <c r="G19" s="1658" t="s">
        <v>687</v>
      </c>
      <c r="H19" s="1659"/>
      <c r="I19" s="1660"/>
      <c r="J19" s="1656" t="s">
        <v>688</v>
      </c>
      <c r="K19" s="1658" t="s">
        <v>689</v>
      </c>
      <c r="L19" s="1659"/>
      <c r="M19" s="1660"/>
      <c r="N19" s="942" t="s">
        <v>690</v>
      </c>
      <c r="P19" s="454"/>
    </row>
    <row r="20" spans="1:16" ht="31.5">
      <c r="A20" s="1"/>
      <c r="B20" s="1670"/>
      <c r="C20" s="1657"/>
      <c r="D20" s="1671"/>
      <c r="E20" s="1671"/>
      <c r="F20" s="1671"/>
      <c r="G20" s="7" t="s">
        <v>377</v>
      </c>
      <c r="H20" s="15" t="s">
        <v>378</v>
      </c>
      <c r="I20" s="15" t="s">
        <v>379</v>
      </c>
      <c r="J20" s="1671"/>
      <c r="K20" s="7" t="s">
        <v>377</v>
      </c>
      <c r="L20" s="15" t="s">
        <v>378</v>
      </c>
      <c r="M20" s="455" t="s">
        <v>379</v>
      </c>
      <c r="N20" s="942"/>
    </row>
    <row r="21" spans="1:16" ht="47.25" customHeight="1">
      <c r="A21" s="1"/>
      <c r="B21" s="1182" t="s">
        <v>415</v>
      </c>
      <c r="C21" s="690" t="s">
        <v>685</v>
      </c>
      <c r="D21" s="622">
        <f>Q15</f>
        <v>2461.2005119999999</v>
      </c>
      <c r="E21" s="12">
        <v>0</v>
      </c>
      <c r="F21" s="13">
        <v>1</v>
      </c>
      <c r="G21" s="14">
        <v>0</v>
      </c>
      <c r="H21" s="14">
        <v>0</v>
      </c>
      <c r="I21" s="14">
        <v>25</v>
      </c>
      <c r="J21" s="29">
        <f>D21*F21*I21</f>
        <v>61530.012799999997</v>
      </c>
      <c r="K21" s="14">
        <v>0</v>
      </c>
      <c r="L21" s="14">
        <v>0</v>
      </c>
      <c r="M21" s="456">
        <v>35</v>
      </c>
      <c r="N21" s="623">
        <f>M21*D21</f>
        <v>86142.017919999998</v>
      </c>
    </row>
    <row r="22" spans="1:16" ht="78" customHeight="1">
      <c r="A22" s="1"/>
      <c r="B22" s="1178" t="s">
        <v>415</v>
      </c>
      <c r="C22" s="1179" t="s">
        <v>686</v>
      </c>
      <c r="D22" s="622">
        <f>Q16</f>
        <v>7441.5</v>
      </c>
      <c r="E22" s="12">
        <v>0</v>
      </c>
      <c r="F22" s="13">
        <v>1</v>
      </c>
      <c r="G22" s="14">
        <v>0</v>
      </c>
      <c r="H22" s="14">
        <v>0</v>
      </c>
      <c r="I22" s="14">
        <v>25</v>
      </c>
      <c r="J22" s="29">
        <f>D22*F22*I22</f>
        <v>186037.5</v>
      </c>
      <c r="K22" s="14">
        <v>0</v>
      </c>
      <c r="L22" s="14">
        <v>0</v>
      </c>
      <c r="M22" s="456">
        <v>35</v>
      </c>
      <c r="N22" s="623">
        <f>D22*M22</f>
        <v>260452.5</v>
      </c>
    </row>
    <row r="23" spans="1:16" ht="15.75">
      <c r="A23" s="2"/>
      <c r="B23" s="8"/>
      <c r="C23" s="8"/>
      <c r="D23" s="10"/>
      <c r="E23" s="10"/>
      <c r="F23" s="10"/>
      <c r="G23" s="28"/>
      <c r="H23" s="11"/>
      <c r="I23" s="11" t="s">
        <v>247</v>
      </c>
      <c r="J23" s="65">
        <f>SUM(J21:J22)</f>
        <v>247567.5128</v>
      </c>
      <c r="K23" s="65"/>
      <c r="L23" s="65"/>
      <c r="M23" s="65"/>
      <c r="N23" s="65">
        <f>SUM(N21:N22)</f>
        <v>346594.51792000001</v>
      </c>
    </row>
    <row r="24" spans="1:16" ht="15.75">
      <c r="A24" s="2"/>
      <c r="B24" s="9"/>
      <c r="C24" s="2"/>
      <c r="D24" s="2"/>
      <c r="E24" s="2"/>
      <c r="F24" s="2"/>
      <c r="G24" s="2"/>
      <c r="H24" s="2"/>
      <c r="I24" s="2"/>
      <c r="J24" s="3"/>
      <c r="K24" s="3"/>
    </row>
    <row r="25" spans="1:16" ht="15.75">
      <c r="A25" s="2"/>
      <c r="B25" s="9"/>
      <c r="C25" s="2"/>
      <c r="D25" s="2"/>
      <c r="E25" s="2"/>
      <c r="F25" s="2"/>
      <c r="G25" s="2"/>
      <c r="H25" s="2"/>
      <c r="I25" s="2"/>
      <c r="J25" s="3"/>
      <c r="K25" s="3"/>
    </row>
    <row r="26" spans="1:16">
      <c r="B26" s="1667" t="s">
        <v>691</v>
      </c>
      <c r="C26" s="1667"/>
      <c r="D26" s="1667"/>
      <c r="E26" s="1667"/>
      <c r="F26" s="1667"/>
      <c r="G26" s="1667"/>
    </row>
    <row r="27" spans="1:16">
      <c r="B27" s="1667"/>
      <c r="C27" s="1667"/>
      <c r="D27" s="1667"/>
      <c r="E27" s="1667"/>
      <c r="F27" s="1667"/>
      <c r="G27" s="1667"/>
    </row>
    <row r="28" spans="1:16">
      <c r="B28" s="1667"/>
      <c r="C28" s="1667"/>
      <c r="D28" s="1667"/>
      <c r="E28" s="1667"/>
      <c r="F28" s="1667"/>
      <c r="G28" s="1667"/>
    </row>
    <row r="29" spans="1:16">
      <c r="B29" s="1667"/>
      <c r="C29" s="1667"/>
      <c r="D29" s="1667"/>
      <c r="E29" s="1667"/>
      <c r="F29" s="1667"/>
      <c r="G29" s="1667"/>
    </row>
  </sheetData>
  <mergeCells count="24">
    <mergeCell ref="Q7:Q8"/>
    <mergeCell ref="B19:B20"/>
    <mergeCell ref="D19:D20"/>
    <mergeCell ref="E19:E20"/>
    <mergeCell ref="F19:F20"/>
    <mergeCell ref="G19:I19"/>
    <mergeCell ref="J19:J20"/>
    <mergeCell ref="A11:A13"/>
    <mergeCell ref="B11:B13"/>
    <mergeCell ref="B26:G29"/>
    <mergeCell ref="O7:O8"/>
    <mergeCell ref="P7:P8"/>
    <mergeCell ref="S11:S13"/>
    <mergeCell ref="C19:C20"/>
    <mergeCell ref="N12:N13"/>
    <mergeCell ref="O12:O13"/>
    <mergeCell ref="P12:P13"/>
    <mergeCell ref="Q11:Q13"/>
    <mergeCell ref="R11:R13"/>
    <mergeCell ref="K19:M19"/>
    <mergeCell ref="F12:H12"/>
    <mergeCell ref="J12:L12"/>
    <mergeCell ref="C12:E12"/>
    <mergeCell ref="M12:M13"/>
  </mergeCells>
  <pageMargins left="0.7" right="0.7" top="0.75" bottom="0.75" header="0.3" footer="0.3"/>
  <pageSetup paperSize="9" scale="19" orientation="portrait" verticalDpi="0" r:id="rId1"/>
  <colBreaks count="1" manualBreakCount="1">
    <brk id="30"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832F7-E6E6-46FC-A015-D811A5CEB4F7}">
  <sheetPr>
    <tabColor theme="7" tint="0.79998168889431442"/>
  </sheetPr>
  <dimension ref="A1:M17"/>
  <sheetViews>
    <sheetView view="pageBreakPreview" zoomScale="60" zoomScaleNormal="70" workbookViewId="0">
      <selection activeCell="B3" sqref="B3"/>
    </sheetView>
  </sheetViews>
  <sheetFormatPr defaultColWidth="9.140625" defaultRowHeight="15"/>
  <cols>
    <col min="1" max="1" width="65.42578125" style="267" customWidth="1"/>
    <col min="2" max="2" width="38.7109375" style="267" customWidth="1"/>
    <col min="3" max="5" width="18.5703125" style="267" customWidth="1"/>
    <col min="6" max="6" width="14.42578125" style="267" customWidth="1"/>
    <col min="7" max="7" width="16.7109375" style="267" customWidth="1"/>
    <col min="8" max="8" width="15.85546875" style="267" customWidth="1"/>
    <col min="9" max="9" width="14.5703125" style="267" customWidth="1"/>
    <col min="10" max="16384" width="9.140625" style="267"/>
  </cols>
  <sheetData>
    <row r="1" spans="1:13">
      <c r="A1" s="674"/>
      <c r="B1" s="674"/>
      <c r="H1" s="168" t="s">
        <v>949</v>
      </c>
      <c r="M1" s="675"/>
    </row>
    <row r="3" spans="1:13" ht="15.75">
      <c r="B3" s="1186" t="s">
        <v>948</v>
      </c>
    </row>
    <row r="5" spans="1:13" ht="105">
      <c r="A5" s="256" t="s">
        <v>200</v>
      </c>
      <c r="B5" s="256" t="s">
        <v>227</v>
      </c>
      <c r="C5" s="253" t="s">
        <v>228</v>
      </c>
      <c r="D5" s="253" t="s">
        <v>229</v>
      </c>
      <c r="E5" s="253" t="s">
        <v>1014</v>
      </c>
    </row>
    <row r="6" spans="1:13" ht="30">
      <c r="A6" s="676" t="s">
        <v>552</v>
      </c>
      <c r="B6" s="641">
        <f>SUM(C9)</f>
        <v>8086606</v>
      </c>
      <c r="C6" s="254">
        <f>SUM(G17)</f>
        <v>3923560.4800000004</v>
      </c>
      <c r="D6" s="254">
        <f>SUM(C6)</f>
        <v>3923560.4800000004</v>
      </c>
      <c r="E6" s="254">
        <f>SUM(D6)</f>
        <v>3923560.4800000004</v>
      </c>
    </row>
    <row r="8" spans="1:13" ht="78.75">
      <c r="A8" s="81" t="s">
        <v>692</v>
      </c>
      <c r="B8" s="683" t="s">
        <v>693</v>
      </c>
      <c r="C8" s="82" t="s">
        <v>694</v>
      </c>
      <c r="D8" s="82" t="s">
        <v>695</v>
      </c>
      <c r="E8" s="82" t="s">
        <v>696</v>
      </c>
      <c r="F8" s="82" t="s">
        <v>697</v>
      </c>
      <c r="G8" s="82" t="s">
        <v>226</v>
      </c>
      <c r="H8" s="82" t="s">
        <v>698</v>
      </c>
      <c r="I8" s="683" t="s">
        <v>699</v>
      </c>
    </row>
    <row r="9" spans="1:13" ht="31.5">
      <c r="A9" s="250" t="s">
        <v>700</v>
      </c>
      <c r="B9" s="684">
        <v>6415</v>
      </c>
      <c r="C9" s="685">
        <v>8086606</v>
      </c>
      <c r="D9" s="685">
        <v>3369415</v>
      </c>
      <c r="E9" s="685">
        <v>3960168</v>
      </c>
      <c r="F9" s="685">
        <v>590753</v>
      </c>
      <c r="G9" s="679">
        <v>1.1753</v>
      </c>
      <c r="H9" s="712">
        <f>E9/5*12-C9</f>
        <v>1417797.1999999993</v>
      </c>
      <c r="I9" s="681">
        <v>3363</v>
      </c>
    </row>
    <row r="10" spans="1:13">
      <c r="C10" s="677"/>
      <c r="D10" s="677"/>
      <c r="E10" s="677"/>
      <c r="F10" s="677"/>
    </row>
    <row r="11" spans="1:13" ht="94.5">
      <c r="A11" s="82" t="s">
        <v>701</v>
      </c>
      <c r="B11" s="682" t="s">
        <v>692</v>
      </c>
      <c r="C11" s="683" t="s">
        <v>693</v>
      </c>
      <c r="D11" s="82" t="s">
        <v>702</v>
      </c>
      <c r="E11" s="710" t="s">
        <v>703</v>
      </c>
      <c r="F11" s="82" t="s">
        <v>704</v>
      </c>
      <c r="G11" s="82" t="s">
        <v>705</v>
      </c>
    </row>
    <row r="12" spans="1:13" ht="15.75">
      <c r="A12" s="678" t="s">
        <v>706</v>
      </c>
      <c r="B12" s="680" t="s">
        <v>707</v>
      </c>
      <c r="C12" s="681">
        <v>1483</v>
      </c>
      <c r="D12" s="634">
        <v>2301487</v>
      </c>
      <c r="E12" s="634">
        <v>1239.28</v>
      </c>
      <c r="F12" s="681">
        <v>1002</v>
      </c>
      <c r="G12" s="713">
        <f>SUM(E12*F12)</f>
        <v>1241758.56</v>
      </c>
    </row>
    <row r="13" spans="1:13" ht="15.75">
      <c r="A13" s="678" t="s">
        <v>708</v>
      </c>
      <c r="B13" s="680" t="s">
        <v>707</v>
      </c>
      <c r="C13" s="681">
        <v>151</v>
      </c>
      <c r="D13" s="634">
        <v>106977</v>
      </c>
      <c r="E13" s="634">
        <v>1239.28</v>
      </c>
      <c r="F13" s="681">
        <v>250</v>
      </c>
      <c r="G13" s="713">
        <f t="shared" ref="G13:G16" si="0">SUM(E13*F13)</f>
        <v>309820</v>
      </c>
    </row>
    <row r="14" spans="1:13" ht="15.75">
      <c r="A14" s="678" t="s">
        <v>709</v>
      </c>
      <c r="B14" s="680" t="s">
        <v>707</v>
      </c>
      <c r="C14" s="681">
        <v>2921</v>
      </c>
      <c r="D14" s="634">
        <v>2865569</v>
      </c>
      <c r="E14" s="634">
        <v>1239.28</v>
      </c>
      <c r="F14" s="681">
        <v>1360</v>
      </c>
      <c r="G14" s="713">
        <f t="shared" si="0"/>
        <v>1685420.8</v>
      </c>
    </row>
    <row r="15" spans="1:13" s="696" customFormat="1" ht="15.75">
      <c r="A15" s="693" t="s">
        <v>710</v>
      </c>
      <c r="B15" s="697" t="s">
        <v>707</v>
      </c>
      <c r="C15" s="695">
        <v>510</v>
      </c>
      <c r="D15" s="694">
        <v>349032</v>
      </c>
      <c r="E15" s="694">
        <v>1239.28</v>
      </c>
      <c r="F15" s="695">
        <v>132</v>
      </c>
      <c r="G15" s="714">
        <f t="shared" si="0"/>
        <v>163584.95999999999</v>
      </c>
    </row>
    <row r="16" spans="1:13" ht="15.75">
      <c r="A16" s="678" t="s">
        <v>711</v>
      </c>
      <c r="B16" s="680" t="s">
        <v>707</v>
      </c>
      <c r="C16" s="681">
        <v>1350</v>
      </c>
      <c r="D16" s="634">
        <v>2463541</v>
      </c>
      <c r="E16" s="634">
        <v>1239.28</v>
      </c>
      <c r="F16" s="681">
        <v>422</v>
      </c>
      <c r="G16" s="713">
        <f t="shared" si="0"/>
        <v>522976.16</v>
      </c>
    </row>
    <row r="17" spans="3:7" ht="15.75">
      <c r="C17" s="692"/>
      <c r="D17" s="692"/>
      <c r="E17" s="692"/>
      <c r="F17" s="1187">
        <f>SUM(F12:F16)</f>
        <v>3166</v>
      </c>
      <c r="G17" s="1188">
        <f>SUM(G12:G16)</f>
        <v>3923560.4800000004</v>
      </c>
    </row>
  </sheetData>
  <pageMargins left="0.7" right="0.7" top="0.75" bottom="0.75" header="0.3" footer="0.3"/>
  <pageSetup paperSize="9" scale="39" orientation="portrait" verticalDpi="0" r:id="rId1"/>
  <colBreaks count="1" manualBreakCount="1">
    <brk id="9"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643B4-DD9C-4B7E-8408-E801A205A263}">
  <sheetPr>
    <tabColor theme="7" tint="0.79998168889431442"/>
  </sheetPr>
  <dimension ref="A1:AQ42"/>
  <sheetViews>
    <sheetView view="pageBreakPreview" zoomScale="60" zoomScaleNormal="80" workbookViewId="0">
      <selection activeCell="F5" sqref="F5"/>
    </sheetView>
  </sheetViews>
  <sheetFormatPr defaultColWidth="9.140625" defaultRowHeight="15"/>
  <cols>
    <col min="1" max="2" width="40.85546875" style="51" customWidth="1"/>
    <col min="3" max="3" width="15" style="51" customWidth="1"/>
    <col min="4" max="4" width="21.85546875" style="51" customWidth="1"/>
    <col min="5" max="6" width="15.5703125" style="51" bestFit="1" customWidth="1"/>
    <col min="7" max="7" width="12.28515625" style="51" customWidth="1"/>
    <col min="8" max="8" width="13.7109375" style="51" customWidth="1"/>
    <col min="9" max="9" width="12.7109375" style="51" customWidth="1"/>
    <col min="10" max="11" width="12" style="51" customWidth="1"/>
    <col min="12" max="12" width="11.85546875" style="51" customWidth="1"/>
    <col min="13" max="13" width="14.42578125" style="51" customWidth="1"/>
    <col min="14" max="14" width="13.28515625" style="51" customWidth="1"/>
    <col min="15" max="15" width="16.42578125" style="51" customWidth="1"/>
    <col min="16" max="24" width="11.5703125" style="51" customWidth="1"/>
    <col min="25" max="25" width="11.140625" style="51" customWidth="1"/>
    <col min="26" max="26" width="11" style="51" customWidth="1"/>
    <col min="27" max="27" width="12.5703125" style="51" customWidth="1"/>
    <col min="28" max="28" width="11.42578125" style="51" customWidth="1"/>
    <col min="29" max="33" width="8.85546875" style="51"/>
    <col min="34" max="34" width="11.5703125" style="51" bestFit="1" customWidth="1"/>
    <col min="35" max="39" width="8.85546875" style="51"/>
    <col min="40" max="40" width="12.42578125" style="51" customWidth="1"/>
    <col min="41" max="16384" width="9.140625" style="51"/>
  </cols>
  <sheetData>
    <row r="1" spans="1:43">
      <c r="A1" s="52"/>
      <c r="B1" s="52"/>
      <c r="C1" s="52"/>
      <c r="G1" s="168" t="s">
        <v>953</v>
      </c>
      <c r="Z1" s="53"/>
    </row>
    <row r="3" spans="1:43" ht="15.75">
      <c r="B3" s="1066" t="s">
        <v>952</v>
      </c>
    </row>
    <row r="5" spans="1:43" ht="90">
      <c r="A5" s="699" t="s">
        <v>200</v>
      </c>
      <c r="B5" s="597" t="s">
        <v>227</v>
      </c>
      <c r="C5" s="253" t="s">
        <v>228</v>
      </c>
      <c r="D5" s="253" t="s">
        <v>1018</v>
      </c>
      <c r="E5" s="257"/>
      <c r="F5" s="257"/>
    </row>
    <row r="6" spans="1:43" ht="30">
      <c r="A6" s="698" t="s">
        <v>86</v>
      </c>
      <c r="B6" s="897">
        <f>H12+H13+H14+H15</f>
        <v>18885327</v>
      </c>
      <c r="C6" s="896">
        <f>SUM(O20+O21+O22+O23)</f>
        <v>3948743.9099999997</v>
      </c>
      <c r="D6" s="896">
        <f>SUM(C6)</f>
        <v>3948743.9099999997</v>
      </c>
      <c r="E6" s="257"/>
      <c r="F6" s="257"/>
    </row>
    <row r="7" spans="1:43" ht="45">
      <c r="A7" s="895" t="s">
        <v>712</v>
      </c>
      <c r="B7" s="898">
        <f>G12+G13+G14+G15</f>
        <v>1052259</v>
      </c>
      <c r="C7" s="894"/>
      <c r="D7" s="894"/>
      <c r="E7" s="257"/>
      <c r="F7" s="257"/>
    </row>
    <row r="10" spans="1:43" ht="15" customHeight="1">
      <c r="A10" s="1673" t="s">
        <v>713</v>
      </c>
      <c r="B10" s="1675" t="s">
        <v>714</v>
      </c>
      <c r="C10" s="1682" t="s">
        <v>715</v>
      </c>
      <c r="D10" s="1683"/>
      <c r="E10" s="1683"/>
      <c r="F10" s="1683"/>
      <c r="G10" s="1683"/>
      <c r="H10" s="1684"/>
      <c r="J10" s="831"/>
      <c r="K10"/>
    </row>
    <row r="11" spans="1:43" ht="30">
      <c r="A11" s="1674"/>
      <c r="B11" s="1676"/>
      <c r="C11" s="875" t="s">
        <v>716</v>
      </c>
      <c r="D11" s="876" t="s">
        <v>391</v>
      </c>
      <c r="E11" s="876" t="s">
        <v>392</v>
      </c>
      <c r="F11" s="876" t="s">
        <v>717</v>
      </c>
      <c r="G11" s="876" t="s">
        <v>718</v>
      </c>
      <c r="H11" s="877" t="s">
        <v>719</v>
      </c>
      <c r="I11" s="832"/>
      <c r="J11"/>
    </row>
    <row r="12" spans="1:43" ht="144.75" customHeight="1">
      <c r="A12" s="890" t="s">
        <v>684</v>
      </c>
      <c r="B12" s="873" t="s">
        <v>720</v>
      </c>
      <c r="C12" s="892">
        <v>5583</v>
      </c>
      <c r="D12" s="874">
        <v>246</v>
      </c>
      <c r="E12" s="874">
        <v>5537</v>
      </c>
      <c r="F12" s="874">
        <f>G12+H12</f>
        <v>16281296</v>
      </c>
      <c r="G12" s="874">
        <v>324635</v>
      </c>
      <c r="H12" s="874">
        <v>15956661</v>
      </c>
      <c r="I12" s="833"/>
      <c r="J12"/>
    </row>
    <row r="13" spans="1:43" ht="120">
      <c r="A13" s="891" t="s">
        <v>683</v>
      </c>
      <c r="B13" s="893" t="s">
        <v>721</v>
      </c>
      <c r="C13" s="892">
        <f>D13+E13</f>
        <v>470</v>
      </c>
      <c r="D13" s="874">
        <v>328</v>
      </c>
      <c r="E13" s="874">
        <v>142</v>
      </c>
      <c r="F13" s="874">
        <f t="shared" ref="F13:F15" si="0">G13+H13</f>
        <v>985530</v>
      </c>
      <c r="G13" s="874">
        <v>486218</v>
      </c>
      <c r="H13" s="874">
        <v>499312</v>
      </c>
      <c r="I13" s="833"/>
      <c r="J13"/>
    </row>
    <row r="14" spans="1:43" ht="120">
      <c r="A14" s="891" t="s">
        <v>722</v>
      </c>
      <c r="B14" s="893" t="s">
        <v>721</v>
      </c>
      <c r="C14" s="892">
        <f t="shared" ref="C14:C15" si="1">D14+E14</f>
        <v>735</v>
      </c>
      <c r="D14" s="874">
        <v>42</v>
      </c>
      <c r="E14" s="874">
        <v>693</v>
      </c>
      <c r="F14" s="874">
        <f t="shared" si="0"/>
        <v>1794320</v>
      </c>
      <c r="G14" s="874">
        <v>44235</v>
      </c>
      <c r="H14" s="874">
        <v>1750085</v>
      </c>
      <c r="I14" s="833"/>
      <c r="J14"/>
    </row>
    <row r="15" spans="1:43" ht="120">
      <c r="A15" s="891" t="s">
        <v>723</v>
      </c>
      <c r="B15" s="893" t="s">
        <v>721</v>
      </c>
      <c r="C15" s="892">
        <f t="shared" si="1"/>
        <v>362</v>
      </c>
      <c r="D15" s="874">
        <v>175</v>
      </c>
      <c r="E15" s="874">
        <v>187</v>
      </c>
      <c r="F15" s="874">
        <f t="shared" si="0"/>
        <v>876440</v>
      </c>
      <c r="G15" s="874">
        <v>197171</v>
      </c>
      <c r="H15" s="874">
        <v>679269</v>
      </c>
      <c r="I15" s="833"/>
      <c r="J15"/>
    </row>
    <row r="16" spans="1:43">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row>
    <row r="17" spans="1:43">
      <c r="A17" s="17"/>
      <c r="B17" s="17"/>
      <c r="C17" s="17"/>
      <c r="D17" s="25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row>
    <row r="18" spans="1:43" s="296" customFormat="1" ht="95.25" customHeight="1">
      <c r="A18" s="1680"/>
      <c r="B18" s="1679" t="s">
        <v>724</v>
      </c>
      <c r="C18" s="1677" t="s">
        <v>725</v>
      </c>
      <c r="D18" s="1677"/>
      <c r="E18" s="1677"/>
      <c r="F18" s="1678" t="s">
        <v>726</v>
      </c>
      <c r="G18" s="1678"/>
      <c r="H18" s="1678"/>
      <c r="I18" s="1678" t="s">
        <v>727</v>
      </c>
      <c r="J18" s="1678"/>
      <c r="K18" s="1678"/>
      <c r="L18" s="1672" t="s">
        <v>728</v>
      </c>
      <c r="M18" s="1672"/>
      <c r="N18" s="1672"/>
    </row>
    <row r="19" spans="1:43" s="296" customFormat="1" ht="51">
      <c r="A19" s="1681"/>
      <c r="B19" s="1679"/>
      <c r="C19" s="636" t="s">
        <v>729</v>
      </c>
      <c r="D19" s="635" t="s">
        <v>730</v>
      </c>
      <c r="E19" s="635" t="s">
        <v>731</v>
      </c>
      <c r="F19" s="642" t="s">
        <v>729</v>
      </c>
      <c r="G19" s="635" t="s">
        <v>730</v>
      </c>
      <c r="H19" s="635" t="s">
        <v>731</v>
      </c>
      <c r="I19" s="926" t="s">
        <v>729</v>
      </c>
      <c r="J19" s="635" t="s">
        <v>730</v>
      </c>
      <c r="K19" s="635" t="s">
        <v>731</v>
      </c>
      <c r="L19" s="926" t="s">
        <v>729</v>
      </c>
      <c r="M19" s="635" t="s">
        <v>730</v>
      </c>
      <c r="N19" s="635" t="s">
        <v>731</v>
      </c>
      <c r="O19" s="925" t="s">
        <v>732</v>
      </c>
      <c r="P19" s="919" t="s">
        <v>531</v>
      </c>
      <c r="Q19" s="919" t="s">
        <v>733</v>
      </c>
      <c r="R19" s="913"/>
      <c r="S19" s="913"/>
      <c r="T19" s="913"/>
      <c r="U19" s="913"/>
      <c r="V19" s="913"/>
      <c r="W19" s="913"/>
      <c r="X19" s="913"/>
    </row>
    <row r="20" spans="1:43" s="296" customFormat="1" ht="12.75">
      <c r="A20" s="911" t="s">
        <v>684</v>
      </c>
      <c r="B20" s="910">
        <v>5583</v>
      </c>
      <c r="C20" s="644">
        <v>790</v>
      </c>
      <c r="D20" s="640">
        <v>2067.39</v>
      </c>
      <c r="E20" s="640">
        <f>D20*C20</f>
        <v>1633238.0999999999</v>
      </c>
      <c r="F20" s="645">
        <v>300</v>
      </c>
      <c r="G20" s="640">
        <v>2067.39</v>
      </c>
      <c r="H20" s="640">
        <f>G20*F20</f>
        <v>620217</v>
      </c>
      <c r="I20" s="645">
        <v>300</v>
      </c>
      <c r="J20" s="640">
        <v>2067.39</v>
      </c>
      <c r="K20" s="640">
        <f>I20*J20</f>
        <v>620217</v>
      </c>
      <c r="L20" s="646">
        <v>300</v>
      </c>
      <c r="M20" s="640">
        <v>2067.39</v>
      </c>
      <c r="N20" s="643">
        <f>M20*L20</f>
        <v>620217</v>
      </c>
      <c r="O20" s="916">
        <f>N20+K20+H20+E20</f>
        <v>3493889.0999999996</v>
      </c>
      <c r="P20" s="734">
        <f>C20+F20+I20+L20</f>
        <v>1690</v>
      </c>
      <c r="Q20" s="918">
        <f>P20/B20</f>
        <v>0.30270463908293033</v>
      </c>
      <c r="R20" s="914"/>
      <c r="S20" s="914"/>
      <c r="T20" s="914"/>
      <c r="U20" s="914"/>
      <c r="V20" s="914"/>
      <c r="W20" s="914"/>
      <c r="X20" s="914"/>
      <c r="Y20" s="168"/>
      <c r="Z20" s="168"/>
      <c r="AA20" s="168"/>
      <c r="AB20" s="168"/>
      <c r="AC20" s="168"/>
      <c r="AD20" s="168"/>
      <c r="AE20" s="168"/>
      <c r="AF20" s="168"/>
      <c r="AG20" s="168"/>
      <c r="AH20" s="168"/>
      <c r="AI20" s="168"/>
    </row>
    <row r="21" spans="1:43" s="938" customFormat="1" ht="108.75" customHeight="1">
      <c r="A21" s="931" t="s">
        <v>683</v>
      </c>
      <c r="B21" s="910">
        <v>470</v>
      </c>
      <c r="C21" s="922">
        <v>112</v>
      </c>
      <c r="D21" s="647">
        <v>1535.12</v>
      </c>
      <c r="E21" s="647">
        <f t="shared" ref="E21:E23" si="2">D21*C21</f>
        <v>171933.44</v>
      </c>
      <c r="F21" s="923">
        <v>29</v>
      </c>
      <c r="G21" s="647">
        <v>1535.12</v>
      </c>
      <c r="H21" s="647">
        <f t="shared" ref="H21:H23" si="3">G21*F21</f>
        <v>44518.479999999996</v>
      </c>
      <c r="I21" s="923">
        <v>0</v>
      </c>
      <c r="J21" s="647">
        <v>1535.12</v>
      </c>
      <c r="K21" s="647">
        <f t="shared" ref="K21:K23" si="4">I21*J21</f>
        <v>0</v>
      </c>
      <c r="L21" s="924">
        <v>0</v>
      </c>
      <c r="M21" s="647">
        <v>1535.12</v>
      </c>
      <c r="N21" s="648">
        <f t="shared" ref="N21:N23" si="5">M21*L21</f>
        <v>0</v>
      </c>
      <c r="O21" s="932">
        <f>N21+K21+H21+E21</f>
        <v>216451.91999999998</v>
      </c>
      <c r="P21" s="933">
        <f>C21+F21+I21+L21</f>
        <v>141</v>
      </c>
      <c r="Q21" s="934">
        <f>P21/B21</f>
        <v>0.3</v>
      </c>
      <c r="R21" s="935"/>
      <c r="S21" s="935"/>
      <c r="T21" s="935"/>
      <c r="U21" s="935"/>
      <c r="V21" s="935"/>
      <c r="W21" s="935"/>
      <c r="X21" s="935"/>
      <c r="Y21" s="936"/>
      <c r="Z21" s="937"/>
      <c r="AA21" s="937"/>
      <c r="AB21" s="937"/>
      <c r="AC21" s="937"/>
      <c r="AD21" s="937"/>
      <c r="AE21" s="937"/>
      <c r="AF21" s="937"/>
      <c r="AG21" s="937"/>
      <c r="AH21" s="672"/>
      <c r="AI21" s="672"/>
    </row>
    <row r="22" spans="1:43" s="296" customFormat="1" ht="21.75" customHeight="1">
      <c r="A22" s="911" t="s">
        <v>722</v>
      </c>
      <c r="B22" s="910">
        <v>735</v>
      </c>
      <c r="C22" s="644">
        <v>120</v>
      </c>
      <c r="D22" s="649">
        <v>1196.71</v>
      </c>
      <c r="E22" s="650">
        <f>D22*C22</f>
        <v>143605.20000000001</v>
      </c>
      <c r="F22" s="645">
        <v>15</v>
      </c>
      <c r="G22" s="649">
        <v>1196.71</v>
      </c>
      <c r="H22" s="650">
        <f t="shared" si="3"/>
        <v>17950.650000000001</v>
      </c>
      <c r="I22" s="645">
        <v>15</v>
      </c>
      <c r="J22" s="649">
        <v>1196.71</v>
      </c>
      <c r="K22" s="650">
        <f t="shared" si="4"/>
        <v>17950.650000000001</v>
      </c>
      <c r="L22" s="646">
        <v>15</v>
      </c>
      <c r="M22" s="649">
        <v>1196.71</v>
      </c>
      <c r="N22" s="651">
        <f t="shared" si="5"/>
        <v>17950.650000000001</v>
      </c>
      <c r="O22" s="917">
        <f>N22+K22+H22+E22</f>
        <v>197457.15000000002</v>
      </c>
      <c r="P22" s="920">
        <f>C22+F22+I22+L22</f>
        <v>165</v>
      </c>
      <c r="Q22" s="921">
        <f>P22/B22</f>
        <v>0.22448979591836735</v>
      </c>
      <c r="R22" s="915"/>
      <c r="S22" s="915"/>
      <c r="T22" s="915"/>
      <c r="U22" s="915"/>
      <c r="V22" s="915"/>
      <c r="W22" s="915"/>
      <c r="X22" s="915"/>
    </row>
    <row r="23" spans="1:43" s="296" customFormat="1" ht="20.25" customHeight="1">
      <c r="A23" s="911" t="s">
        <v>723</v>
      </c>
      <c r="B23" s="910">
        <v>362</v>
      </c>
      <c r="C23" s="922">
        <v>5</v>
      </c>
      <c r="D23" s="649">
        <v>1240.78</v>
      </c>
      <c r="E23" s="650">
        <f t="shared" si="2"/>
        <v>6203.9</v>
      </c>
      <c r="F23" s="923">
        <v>23</v>
      </c>
      <c r="G23" s="649">
        <v>1240.78</v>
      </c>
      <c r="H23" s="650">
        <f t="shared" si="3"/>
        <v>28537.94</v>
      </c>
      <c r="I23" s="923">
        <v>3</v>
      </c>
      <c r="J23" s="649">
        <v>1240.78</v>
      </c>
      <c r="K23" s="650">
        <f t="shared" si="4"/>
        <v>3722.34</v>
      </c>
      <c r="L23" s="924">
        <v>2</v>
      </c>
      <c r="M23" s="649">
        <v>1240.78</v>
      </c>
      <c r="N23" s="651">
        <f t="shared" si="5"/>
        <v>2481.56</v>
      </c>
      <c r="O23" s="917">
        <f>N23+K23+H23+E23</f>
        <v>40945.74</v>
      </c>
      <c r="P23" s="920">
        <f>C23+F23+I23+L23</f>
        <v>33</v>
      </c>
      <c r="Q23" s="921">
        <f>P23/B23</f>
        <v>9.1160220994475141E-2</v>
      </c>
      <c r="R23" s="915"/>
      <c r="S23" s="915"/>
      <c r="T23" s="915"/>
      <c r="U23" s="915"/>
      <c r="V23" s="915"/>
      <c r="W23" s="915"/>
      <c r="X23" s="915"/>
      <c r="Y23" s="296">
        <f>C23+F23+I23+L23</f>
        <v>33</v>
      </c>
    </row>
    <row r="24" spans="1:43" s="743" customFormat="1" ht="20.25" customHeight="1">
      <c r="A24" s="743" t="s">
        <v>734</v>
      </c>
      <c r="H24" s="927"/>
      <c r="AB24" s="928"/>
    </row>
    <row r="25" spans="1:43" s="743" customFormat="1" ht="15.75" customHeight="1">
      <c r="A25" s="930" t="s">
        <v>735</v>
      </c>
      <c r="B25" s="929"/>
      <c r="C25" s="929"/>
      <c r="E25" s="929"/>
      <c r="F25" s="929"/>
      <c r="G25" s="929"/>
      <c r="H25" s="929"/>
      <c r="I25" s="929"/>
      <c r="L25" s="929"/>
    </row>
    <row r="26" spans="1:43" s="743" customFormat="1" ht="15.75" customHeight="1">
      <c r="A26" s="929"/>
      <c r="B26" s="929"/>
      <c r="C26" s="929"/>
      <c r="D26" s="929"/>
      <c r="E26" s="929"/>
      <c r="F26" s="929"/>
      <c r="G26" s="929"/>
      <c r="H26" s="929"/>
      <c r="I26" s="929"/>
    </row>
    <row r="27" spans="1:43" ht="15.75">
      <c r="A27" s="912"/>
      <c r="B27" s="912"/>
      <c r="C27" s="912"/>
      <c r="D27" s="912"/>
      <c r="E27" s="912"/>
      <c r="F27" s="912"/>
      <c r="G27" s="912"/>
      <c r="H27" s="912"/>
      <c r="I27" s="912"/>
      <c r="M27" s="268"/>
    </row>
    <row r="28" spans="1:43" ht="15.75">
      <c r="A28" s="912"/>
      <c r="B28" s="912"/>
      <c r="C28" s="912"/>
      <c r="D28" s="912"/>
      <c r="E28" s="912"/>
      <c r="F28" s="912"/>
      <c r="G28" s="912"/>
      <c r="H28" s="912"/>
      <c r="I28" s="912"/>
      <c r="M28" s="268"/>
    </row>
    <row r="29" spans="1:43" ht="64.5" customHeight="1">
      <c r="A29" s="912"/>
      <c r="B29" s="912"/>
      <c r="C29" s="912"/>
      <c r="D29" s="912"/>
      <c r="E29" s="912"/>
      <c r="F29" s="912"/>
      <c r="G29" s="912"/>
      <c r="H29" s="912"/>
      <c r="I29" s="912"/>
      <c r="M29" s="268"/>
    </row>
    <row r="30" spans="1:43" ht="15.75">
      <c r="A30" s="912"/>
      <c r="B30" s="912"/>
      <c r="C30" s="912"/>
      <c r="D30" s="912"/>
      <c r="E30" s="912"/>
      <c r="F30" s="912"/>
      <c r="G30" s="912"/>
      <c r="H30" s="912"/>
      <c r="I30" s="912"/>
      <c r="M30" s="268"/>
    </row>
    <row r="37" spans="1:27">
      <c r="A37" s="257"/>
      <c r="B37" s="257"/>
      <c r="C37" s="257"/>
      <c r="D37" s="257"/>
      <c r="E37" s="257"/>
      <c r="F37" s="257"/>
      <c r="G37" s="257"/>
      <c r="H37" s="257"/>
      <c r="I37" s="257"/>
      <c r="J37" s="257"/>
      <c r="K37" s="257"/>
      <c r="L37" s="257"/>
      <c r="M37" s="257"/>
      <c r="N37" s="257"/>
      <c r="O37" s="257"/>
      <c r="P37" s="257"/>
      <c r="Q37" s="257"/>
      <c r="R37" s="257"/>
      <c r="S37" s="257"/>
      <c r="T37" s="257"/>
      <c r="U37" s="257"/>
      <c r="V37" s="257"/>
      <c r="W37" s="257"/>
      <c r="X37" s="257"/>
      <c r="Y37" s="257"/>
      <c r="Z37" s="257"/>
      <c r="AA37" s="257"/>
    </row>
    <row r="38" spans="1:27">
      <c r="A38" s="257"/>
      <c r="B38" s="257"/>
      <c r="C38" s="257"/>
      <c r="D38" s="257"/>
      <c r="E38" s="257"/>
      <c r="F38" s="257"/>
      <c r="G38" s="257"/>
      <c r="H38" s="257"/>
      <c r="I38" s="257"/>
      <c r="J38" s="257"/>
      <c r="K38" s="257"/>
      <c r="L38" s="257"/>
      <c r="M38" s="257"/>
      <c r="N38" s="257"/>
      <c r="O38" s="257"/>
      <c r="P38" s="257"/>
      <c r="Q38" s="257"/>
      <c r="R38" s="257"/>
      <c r="S38" s="257"/>
      <c r="T38" s="257"/>
      <c r="U38" s="257"/>
      <c r="V38" s="257"/>
      <c r="W38" s="257"/>
      <c r="X38" s="257"/>
      <c r="Y38" s="257"/>
      <c r="Z38" s="257"/>
      <c r="AA38" s="257"/>
    </row>
    <row r="39" spans="1:27">
      <c r="A39" s="257"/>
      <c r="B39" s="257"/>
      <c r="C39" s="257"/>
      <c r="D39" s="257"/>
      <c r="E39" s="257"/>
      <c r="F39" s="257"/>
      <c r="G39" s="257"/>
      <c r="H39" s="257"/>
      <c r="I39" s="257"/>
      <c r="J39" s="257"/>
      <c r="K39" s="257"/>
      <c r="L39" s="257"/>
      <c r="M39" s="257"/>
      <c r="N39" s="257"/>
      <c r="O39" s="257"/>
      <c r="P39" s="257"/>
      <c r="Q39" s="257"/>
      <c r="R39" s="257"/>
      <c r="S39" s="257"/>
      <c r="T39" s="257"/>
      <c r="U39" s="257"/>
      <c r="V39" s="257"/>
      <c r="W39" s="257"/>
      <c r="X39" s="257"/>
      <c r="Y39" s="257"/>
      <c r="Z39" s="257"/>
      <c r="AA39" s="257"/>
    </row>
    <row r="40" spans="1:27">
      <c r="A40" s="257"/>
      <c r="B40" s="257"/>
      <c r="C40" s="257"/>
      <c r="D40" s="257"/>
      <c r="E40" s="257"/>
      <c r="F40" s="257"/>
      <c r="G40" s="257"/>
      <c r="H40" s="257"/>
      <c r="I40" s="257"/>
      <c r="J40" s="257"/>
      <c r="K40" s="257"/>
      <c r="L40" s="257"/>
      <c r="M40" s="257"/>
      <c r="N40" s="257"/>
      <c r="O40" s="257"/>
      <c r="P40" s="257"/>
      <c r="Q40" s="257"/>
      <c r="R40" s="257"/>
      <c r="S40" s="257"/>
      <c r="T40" s="257"/>
      <c r="U40" s="257"/>
      <c r="V40" s="257"/>
      <c r="W40" s="257"/>
      <c r="X40" s="257"/>
      <c r="Y40" s="257"/>
      <c r="Z40" s="257"/>
      <c r="AA40" s="257"/>
    </row>
    <row r="41" spans="1:27">
      <c r="A41" s="257"/>
      <c r="B41" s="257"/>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row>
    <row r="42" spans="1:27">
      <c r="A42" s="257"/>
      <c r="B42" s="257"/>
      <c r="C42" s="257"/>
      <c r="D42" s="257"/>
      <c r="E42" s="257"/>
      <c r="F42" s="257"/>
      <c r="G42" s="257"/>
      <c r="H42" s="257"/>
      <c r="I42" s="257"/>
      <c r="J42" s="257"/>
      <c r="K42" s="257"/>
      <c r="L42" s="257"/>
      <c r="M42" s="257"/>
      <c r="N42" s="257"/>
      <c r="O42" s="257"/>
      <c r="P42" s="257"/>
      <c r="Q42" s="257"/>
      <c r="R42" s="257"/>
      <c r="S42" s="257"/>
      <c r="T42" s="257"/>
      <c r="U42" s="257"/>
      <c r="V42" s="257"/>
      <c r="W42" s="257"/>
      <c r="X42" s="257"/>
      <c r="Y42" s="257"/>
      <c r="Z42" s="257"/>
      <c r="AA42" s="257"/>
    </row>
  </sheetData>
  <mergeCells count="9">
    <mergeCell ref="L18:N18"/>
    <mergeCell ref="A10:A11"/>
    <mergeCell ref="B10:B11"/>
    <mergeCell ref="C18:E18"/>
    <mergeCell ref="F18:H18"/>
    <mergeCell ref="I18:K18"/>
    <mergeCell ref="B18:B19"/>
    <mergeCell ref="A18:A19"/>
    <mergeCell ref="C10:H10"/>
  </mergeCells>
  <pageMargins left="0.7" right="0.7" top="0.75" bottom="0.75" header="0.3" footer="0.3"/>
  <pageSetup paperSize="9" scale="29" orientation="portrait" verticalDpi="0" r:id="rId1"/>
  <colBreaks count="1" manualBreakCount="1">
    <brk id="1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BA3CA-1A41-4451-995F-40EA0FE8186D}">
  <sheetPr>
    <tabColor theme="7" tint="0.79998168889431442"/>
  </sheetPr>
  <dimension ref="A1:T31"/>
  <sheetViews>
    <sheetView zoomScale="90" zoomScaleNormal="90" workbookViewId="0">
      <selection activeCell="F6" sqref="F6"/>
    </sheetView>
  </sheetViews>
  <sheetFormatPr defaultRowHeight="15"/>
  <cols>
    <col min="1" max="2" width="24.5703125" customWidth="1"/>
    <col min="3" max="3" width="22.7109375" customWidth="1"/>
    <col min="4" max="5" width="15.5703125" customWidth="1"/>
    <col min="6" max="7" width="16.42578125" customWidth="1"/>
    <col min="8" max="8" width="11.42578125" customWidth="1"/>
    <col min="9" max="9" width="12.42578125" customWidth="1"/>
    <col min="10" max="10" width="17.140625" customWidth="1"/>
    <col min="11" max="11" width="15" customWidth="1"/>
    <col min="12" max="12" width="14.85546875" customWidth="1"/>
    <col min="13" max="13" width="13.5703125" customWidth="1"/>
    <col min="14" max="14" width="18.28515625" customWidth="1"/>
    <col min="15" max="15" width="18.42578125" customWidth="1"/>
    <col min="16" max="16" width="16.5703125" customWidth="1"/>
    <col min="17" max="17" width="17.42578125" customWidth="1"/>
    <col min="18" max="18" width="11.140625" customWidth="1"/>
    <col min="19" max="19" width="11" customWidth="1"/>
    <col min="20" max="20" width="14" customWidth="1"/>
    <col min="21" max="21" width="13.28515625" customWidth="1"/>
    <col min="22" max="22" width="13" customWidth="1"/>
    <col min="23" max="23" width="14.42578125" customWidth="1"/>
  </cols>
  <sheetData>
    <row r="1" spans="1:19">
      <c r="Q1" s="168" t="s">
        <v>954</v>
      </c>
    </row>
    <row r="3" spans="1:19" ht="15.75">
      <c r="B3" s="1067" t="s">
        <v>958</v>
      </c>
      <c r="C3" s="1191"/>
      <c r="D3" s="1191"/>
      <c r="E3" s="1"/>
      <c r="F3" s="1"/>
      <c r="L3" s="1"/>
      <c r="N3" s="1"/>
    </row>
    <row r="4" spans="1:19">
      <c r="A4" s="1"/>
      <c r="B4" s="1"/>
      <c r="C4" s="1"/>
      <c r="D4" s="1"/>
      <c r="E4" s="1"/>
      <c r="F4" s="1"/>
      <c r="L4" s="1"/>
      <c r="N4" s="1"/>
    </row>
    <row r="5" spans="1:19" ht="105">
      <c r="A5" s="147" t="s">
        <v>200</v>
      </c>
      <c r="B5" s="147" t="s">
        <v>227</v>
      </c>
      <c r="C5" s="5" t="s">
        <v>228</v>
      </c>
      <c r="D5" s="5" t="s">
        <v>1018</v>
      </c>
      <c r="E5" s="1"/>
      <c r="F5" s="1"/>
      <c r="L5" s="1"/>
      <c r="N5" s="1"/>
    </row>
    <row r="6" spans="1:19" ht="68.25" customHeight="1">
      <c r="A6" s="1190" t="s">
        <v>86</v>
      </c>
      <c r="B6" s="700">
        <f>F26*C26</f>
        <v>3537830.4</v>
      </c>
      <c r="C6" s="21">
        <f>P28</f>
        <v>1672783.7999999998</v>
      </c>
      <c r="D6" s="21">
        <f>Q28</f>
        <v>3764561.5999999996</v>
      </c>
      <c r="E6" s="1"/>
      <c r="F6" s="1"/>
      <c r="L6" s="1"/>
      <c r="N6" s="1"/>
    </row>
    <row r="7" spans="1:19">
      <c r="A7" s="1"/>
      <c r="B7" s="1"/>
      <c r="C7" s="1"/>
      <c r="D7" s="1"/>
      <c r="E7" s="1"/>
      <c r="F7" s="1"/>
      <c r="G7" s="1"/>
      <c r="H7" s="1"/>
      <c r="I7" s="1"/>
      <c r="J7" s="1"/>
      <c r="K7" s="1"/>
      <c r="L7" s="1"/>
      <c r="M7" s="1"/>
      <c r="N7" s="1"/>
    </row>
    <row r="8" spans="1:19">
      <c r="A8" s="1"/>
      <c r="B8" s="1"/>
      <c r="C8" s="1"/>
      <c r="D8" s="1"/>
      <c r="E8" s="1"/>
      <c r="F8" s="1"/>
      <c r="G8" s="1"/>
      <c r="H8" s="1"/>
      <c r="I8" s="1"/>
      <c r="J8" s="1"/>
      <c r="K8" s="1"/>
      <c r="L8" s="1"/>
      <c r="M8" s="1"/>
      <c r="N8" s="1"/>
    </row>
    <row r="10" spans="1:19" ht="15" customHeight="1">
      <c r="A10" s="22" t="s">
        <v>32</v>
      </c>
      <c r="B10" s="129" t="s">
        <v>316</v>
      </c>
      <c r="C10" s="130" t="s">
        <v>317</v>
      </c>
      <c r="D10" s="130" t="s">
        <v>318</v>
      </c>
      <c r="E10" s="130" t="s">
        <v>319</v>
      </c>
      <c r="F10" t="s">
        <v>32</v>
      </c>
      <c r="G10" t="s">
        <v>32</v>
      </c>
      <c r="H10" t="s">
        <v>32</v>
      </c>
      <c r="I10" t="s">
        <v>32</v>
      </c>
      <c r="J10" s="1529" t="s">
        <v>340</v>
      </c>
      <c r="K10" s="1529" t="s">
        <v>341</v>
      </c>
      <c r="L10" s="1529" t="s">
        <v>342</v>
      </c>
    </row>
    <row r="11" spans="1:19" ht="38.25" customHeight="1">
      <c r="A11" s="233" t="s">
        <v>320</v>
      </c>
      <c r="B11" s="131">
        <v>2304</v>
      </c>
      <c r="C11" s="132">
        <v>1388</v>
      </c>
      <c r="D11" s="132">
        <v>925</v>
      </c>
      <c r="E11" s="133" t="s">
        <v>32</v>
      </c>
      <c r="F11" t="s">
        <v>32</v>
      </c>
      <c r="G11" t="s">
        <v>32</v>
      </c>
      <c r="H11" t="s">
        <v>32</v>
      </c>
      <c r="I11" t="s">
        <v>32</v>
      </c>
      <c r="J11" s="1530"/>
      <c r="K11" s="1530"/>
      <c r="L11" s="1530"/>
    </row>
    <row r="12" spans="1:19" ht="30">
      <c r="A12" s="233" t="s">
        <v>321</v>
      </c>
      <c r="B12" s="134">
        <f>ROUND(B11/9600,4)</f>
        <v>0.24</v>
      </c>
      <c r="C12" s="134">
        <f>ROUND(C11/9600,4)</f>
        <v>0.14460000000000001</v>
      </c>
      <c r="D12" s="134">
        <f>ROUND(D11/9600,4)</f>
        <v>9.64E-2</v>
      </c>
      <c r="E12" s="133">
        <v>0.2359</v>
      </c>
      <c r="F12" t="s">
        <v>32</v>
      </c>
      <c r="G12" t="s">
        <v>32</v>
      </c>
      <c r="H12" t="s">
        <v>32</v>
      </c>
      <c r="I12" s="49" t="s">
        <v>343</v>
      </c>
      <c r="J12" s="49">
        <v>0.28570000000000001</v>
      </c>
      <c r="K12" s="50">
        <v>2.0199999999999999E-2</v>
      </c>
      <c r="L12" s="50">
        <v>3.2199999999999999E-2</v>
      </c>
    </row>
    <row r="16" spans="1:19" ht="15" customHeight="1">
      <c r="A16" s="1531" t="s">
        <v>232</v>
      </c>
      <c r="B16" s="1531" t="s">
        <v>231</v>
      </c>
      <c r="C16" s="1534" t="s">
        <v>344</v>
      </c>
      <c r="D16" s="1534"/>
      <c r="E16" s="1534"/>
      <c r="F16" s="1534"/>
      <c r="G16" s="1534"/>
      <c r="H16" s="1534"/>
      <c r="I16" s="1534"/>
      <c r="J16" s="1534"/>
      <c r="K16" s="1534"/>
      <c r="L16" s="1535"/>
      <c r="M16" s="1534" t="s">
        <v>32</v>
      </c>
      <c r="N16" s="1534"/>
      <c r="O16" s="1534"/>
      <c r="P16" s="1535"/>
      <c r="Q16" s="1531" t="s">
        <v>345</v>
      </c>
      <c r="R16" s="1531" t="s">
        <v>346</v>
      </c>
      <c r="S16" s="1531" t="s">
        <v>233</v>
      </c>
    </row>
    <row r="17" spans="1:20" ht="86.25" customHeight="1">
      <c r="A17" s="1532"/>
      <c r="B17" s="1532"/>
      <c r="C17" s="1534" t="s">
        <v>347</v>
      </c>
      <c r="D17" s="1534"/>
      <c r="E17" s="1535"/>
      <c r="F17" s="1534" t="s">
        <v>348</v>
      </c>
      <c r="G17" s="1534"/>
      <c r="H17" s="1535"/>
      <c r="I17" s="136" t="s">
        <v>349</v>
      </c>
      <c r="J17" s="1534" t="s">
        <v>350</v>
      </c>
      <c r="K17" s="1534"/>
      <c r="L17" s="1535"/>
      <c r="M17" s="1532" t="s">
        <v>351</v>
      </c>
      <c r="N17" s="1532" t="s">
        <v>352</v>
      </c>
      <c r="O17" s="1532" t="s">
        <v>353</v>
      </c>
      <c r="P17" s="1532" t="s">
        <v>354</v>
      </c>
      <c r="Q17" s="1532"/>
      <c r="R17" s="1532"/>
      <c r="S17" s="1532"/>
    </row>
    <row r="18" spans="1:20" ht="75">
      <c r="A18" s="1533"/>
      <c r="B18" s="1533"/>
      <c r="C18" s="407" t="s">
        <v>355</v>
      </c>
      <c r="D18" s="407" t="s">
        <v>356</v>
      </c>
      <c r="E18" s="407" t="s">
        <v>357</v>
      </c>
      <c r="F18" s="407" t="s">
        <v>355</v>
      </c>
      <c r="G18" s="407" t="s">
        <v>356</v>
      </c>
      <c r="H18" s="407" t="s">
        <v>358</v>
      </c>
      <c r="I18" s="407" t="s">
        <v>359</v>
      </c>
      <c r="J18" s="407" t="s">
        <v>360</v>
      </c>
      <c r="K18" s="407" t="s">
        <v>361</v>
      </c>
      <c r="L18" s="407" t="s">
        <v>362</v>
      </c>
      <c r="M18" s="1532"/>
      <c r="N18" s="1532"/>
      <c r="O18" s="1532"/>
      <c r="P18" s="1532"/>
      <c r="Q18" s="1532"/>
      <c r="R18" s="1532"/>
      <c r="S18" s="1532"/>
    </row>
    <row r="19" spans="1:20" ht="63">
      <c r="A19" s="59" t="s">
        <v>415</v>
      </c>
      <c r="B19" s="148" t="s">
        <v>736</v>
      </c>
      <c r="C19" s="593">
        <v>720</v>
      </c>
      <c r="D19" s="593">
        <v>600</v>
      </c>
      <c r="E19" s="593">
        <v>0</v>
      </c>
      <c r="F19" s="594">
        <f>ROUND((C19*B12),2)</f>
        <v>172.8</v>
      </c>
      <c r="G19" s="594">
        <f>ROUND((D19*C12),2)</f>
        <v>86.76</v>
      </c>
      <c r="H19" s="594">
        <f>ROUND((E19*D12),2)</f>
        <v>0</v>
      </c>
      <c r="I19" s="594">
        <f>ROUND(((F19+G19+H19)*$E$12),2)</f>
        <v>61.23</v>
      </c>
      <c r="J19" s="624">
        <f>K19+L19</f>
        <v>34937.599999999999</v>
      </c>
      <c r="K19" s="624">
        <v>392.34</v>
      </c>
      <c r="L19" s="624">
        <v>34545.26</v>
      </c>
      <c r="M19" s="594">
        <v>144.49</v>
      </c>
      <c r="N19" s="594">
        <f>ROUND(((F19+G19+H19)*$J$12),2)</f>
        <v>74.16</v>
      </c>
      <c r="O19" s="594">
        <f>ROUND(((F19+G19+$H$19)*K12),2)</f>
        <v>5.24</v>
      </c>
      <c r="P19" s="594">
        <f>ROUND(((F19+G19+H19)*$L$12),2)</f>
        <v>8.36</v>
      </c>
      <c r="Q19" s="598">
        <f>ROUND((F19+G19+H19+I19+J19+M19+N19+O19+P19),2)</f>
        <v>35490.639999999999</v>
      </c>
      <c r="R19" s="600">
        <v>0</v>
      </c>
      <c r="S19" s="598">
        <f>Q19-R19</f>
        <v>35490.639999999999</v>
      </c>
    </row>
    <row r="20" spans="1:20" ht="63">
      <c r="A20" s="58" t="s">
        <v>737</v>
      </c>
      <c r="B20" s="584" t="s">
        <v>738</v>
      </c>
      <c r="C20" s="596">
        <v>720</v>
      </c>
      <c r="D20" s="421">
        <v>600</v>
      </c>
      <c r="E20" s="421">
        <v>120</v>
      </c>
      <c r="F20" s="422">
        <f>ROUND((C20*B12),2)</f>
        <v>172.8</v>
      </c>
      <c r="G20" s="422">
        <f>ROUND((D20*C12),2)</f>
        <v>86.76</v>
      </c>
      <c r="H20" s="422">
        <f>ROUND((E20*D12),2)</f>
        <v>11.57</v>
      </c>
      <c r="I20" s="422">
        <f>ROUND(((F20+G20+H20)*$E$12),2)</f>
        <v>63.96</v>
      </c>
      <c r="J20" s="77">
        <f>K20+L20</f>
        <v>24214.5</v>
      </c>
      <c r="K20" s="77">
        <v>433.49</v>
      </c>
      <c r="L20" s="77">
        <v>23781.01</v>
      </c>
      <c r="M20" s="422">
        <v>144.5</v>
      </c>
      <c r="N20" s="422">
        <f>ROUND(((F20+G20+H20)*$J$12),2)</f>
        <v>77.459999999999994</v>
      </c>
      <c r="O20" s="422">
        <f>ROUND(((F20+G20+$H$20)*K12),2)</f>
        <v>5.48</v>
      </c>
      <c r="P20" s="422">
        <f>ROUND(((F20+G20+H20)*$L$12),2)</f>
        <v>8.73</v>
      </c>
      <c r="Q20" s="599">
        <f>ROUND((F20+G20+H20+I20+J20+M20+N20+O20+P20),2)</f>
        <v>24785.759999999998</v>
      </c>
      <c r="R20" s="601">
        <v>0</v>
      </c>
      <c r="S20" s="599">
        <f>Q20-R20</f>
        <v>24785.759999999998</v>
      </c>
    </row>
    <row r="23" spans="1:20" ht="15.75">
      <c r="A23" s="2"/>
      <c r="B23" s="2"/>
      <c r="C23" s="8"/>
      <c r="D23" s="2"/>
      <c r="E23" s="2"/>
      <c r="F23" s="2"/>
      <c r="G23" s="2"/>
      <c r="H23" s="2"/>
      <c r="I23" s="2"/>
      <c r="J23" s="2"/>
      <c r="K23" s="2"/>
      <c r="L23" s="2"/>
      <c r="M23" s="2"/>
      <c r="N23" s="3"/>
    </row>
    <row r="24" spans="1:20" ht="30" customHeight="1">
      <c r="A24" s="1686" t="s">
        <v>232</v>
      </c>
      <c r="B24" s="1687" t="s">
        <v>739</v>
      </c>
      <c r="C24" s="1686" t="s">
        <v>740</v>
      </c>
      <c r="D24" s="1686" t="s">
        <v>741</v>
      </c>
      <c r="E24" s="1686" t="s">
        <v>251</v>
      </c>
      <c r="F24" s="1690" t="s">
        <v>742</v>
      </c>
      <c r="G24" s="1686" t="s">
        <v>743</v>
      </c>
      <c r="H24" s="1686"/>
      <c r="I24" s="1686"/>
      <c r="J24" s="1688" t="s">
        <v>744</v>
      </c>
      <c r="K24" s="1688"/>
      <c r="L24" s="1688"/>
      <c r="M24" s="1689" t="s">
        <v>745</v>
      </c>
      <c r="N24" s="1689"/>
      <c r="O24" s="1689"/>
      <c r="P24" s="1686" t="s">
        <v>746</v>
      </c>
      <c r="Q24" s="1689" t="s">
        <v>747</v>
      </c>
      <c r="R24" s="1688" t="s">
        <v>748</v>
      </c>
      <c r="S24" s="1688"/>
      <c r="T24" s="1688"/>
    </row>
    <row r="25" spans="1:20" ht="31.5">
      <c r="A25" s="1686"/>
      <c r="B25" s="1687"/>
      <c r="C25" s="1686"/>
      <c r="D25" s="1686"/>
      <c r="E25" s="1686"/>
      <c r="F25" s="1691"/>
      <c r="G25" s="56" t="s">
        <v>377</v>
      </c>
      <c r="H25" s="56" t="s">
        <v>378</v>
      </c>
      <c r="I25" s="56" t="s">
        <v>379</v>
      </c>
      <c r="J25" s="381" t="s">
        <v>377</v>
      </c>
      <c r="K25" s="381" t="s">
        <v>378</v>
      </c>
      <c r="L25" s="125" t="s">
        <v>379</v>
      </c>
      <c r="M25" s="57" t="s">
        <v>377</v>
      </c>
      <c r="N25" s="57" t="s">
        <v>378</v>
      </c>
      <c r="O25" s="57" t="s">
        <v>379</v>
      </c>
      <c r="P25" s="1686"/>
      <c r="Q25" s="1689"/>
      <c r="R25" s="381" t="s">
        <v>377</v>
      </c>
      <c r="S25" s="381" t="s">
        <v>378</v>
      </c>
      <c r="T25" s="125" t="s">
        <v>379</v>
      </c>
    </row>
    <row r="26" spans="1:20" ht="73.5" customHeight="1">
      <c r="A26" s="58"/>
      <c r="B26" s="595" t="s">
        <v>749</v>
      </c>
      <c r="C26" s="60">
        <v>27639.3</v>
      </c>
      <c r="D26" s="61">
        <v>0</v>
      </c>
      <c r="E26" s="62">
        <v>1</v>
      </c>
      <c r="F26" s="62">
        <v>128</v>
      </c>
      <c r="G26" s="63">
        <v>0</v>
      </c>
      <c r="H26" s="63">
        <v>0</v>
      </c>
      <c r="I26" s="63">
        <v>150</v>
      </c>
      <c r="J26" s="63">
        <v>0</v>
      </c>
      <c r="K26" s="63">
        <v>0</v>
      </c>
      <c r="L26" s="457">
        <f>(I26-F26)*C26</f>
        <v>608064.6</v>
      </c>
      <c r="M26" s="63">
        <v>0</v>
      </c>
      <c r="N26" s="63">
        <v>0</v>
      </c>
      <c r="O26" s="63">
        <v>200</v>
      </c>
      <c r="P26" s="64">
        <f>C26*E26*(I26-F26)</f>
        <v>608064.6</v>
      </c>
      <c r="Q26" s="64">
        <f>C26*E26*(O26-F26)</f>
        <v>1990029.5999999999</v>
      </c>
      <c r="R26" s="420">
        <v>0</v>
      </c>
      <c r="S26" s="420">
        <v>0</v>
      </c>
      <c r="T26" s="420">
        <f>(O26-F26)*C26</f>
        <v>1990029.5999999999</v>
      </c>
    </row>
    <row r="27" spans="1:20" ht="70.5" customHeight="1">
      <c r="A27" s="839" t="s">
        <v>415</v>
      </c>
      <c r="B27" s="148" t="s">
        <v>736</v>
      </c>
      <c r="C27" s="834">
        <f>S19</f>
        <v>35490.639999999999</v>
      </c>
      <c r="D27" s="835">
        <v>0</v>
      </c>
      <c r="E27" s="13">
        <v>1</v>
      </c>
      <c r="F27" s="13">
        <v>0</v>
      </c>
      <c r="G27" s="14">
        <v>0</v>
      </c>
      <c r="H27" s="14">
        <v>0</v>
      </c>
      <c r="I27" s="14">
        <v>30</v>
      </c>
      <c r="J27" s="14">
        <v>0</v>
      </c>
      <c r="K27" s="14">
        <v>0</v>
      </c>
      <c r="L27" s="834">
        <f>I27*C27</f>
        <v>1064719.2</v>
      </c>
      <c r="M27" s="14">
        <v>0</v>
      </c>
      <c r="N27" s="14">
        <v>0</v>
      </c>
      <c r="O27" s="14">
        <v>50</v>
      </c>
      <c r="P27" s="836">
        <f>C27*E27*I27</f>
        <v>1064719.2</v>
      </c>
      <c r="Q27" s="837">
        <f>C27*E27*O27</f>
        <v>1774532</v>
      </c>
      <c r="R27" s="838">
        <v>0</v>
      </c>
      <c r="S27" s="838">
        <v>0</v>
      </c>
      <c r="T27" s="838">
        <f>O27*C27</f>
        <v>1774532</v>
      </c>
    </row>
    <row r="28" spans="1:20" ht="15.75">
      <c r="A28" s="2"/>
      <c r="B28" s="2"/>
      <c r="C28" s="10"/>
      <c r="D28" s="10"/>
      <c r="E28" s="10"/>
      <c r="F28" s="653"/>
      <c r="G28" s="11"/>
      <c r="H28" s="11"/>
      <c r="I28" s="28"/>
      <c r="J28" s="66"/>
      <c r="K28" s="28"/>
      <c r="L28" s="28"/>
      <c r="P28" s="65">
        <f>SUM(P26:P27)</f>
        <v>1672783.7999999998</v>
      </c>
      <c r="Q28" s="76">
        <f>SUM(Q26:Q27)</f>
        <v>3764561.5999999996</v>
      </c>
    </row>
    <row r="29" spans="1:20" ht="18" customHeight="1">
      <c r="A29" s="1685"/>
      <c r="B29" s="1685"/>
      <c r="C29" s="1685"/>
      <c r="D29" s="2"/>
      <c r="E29" s="2"/>
      <c r="F29" s="2"/>
      <c r="G29" s="2"/>
      <c r="H29" s="2"/>
      <c r="I29" s="2"/>
      <c r="J29" s="2"/>
      <c r="K29" s="2"/>
      <c r="L29" s="2"/>
      <c r="M29" s="2"/>
      <c r="N29" s="3"/>
    </row>
    <row r="30" spans="1:20" ht="15.75">
      <c r="A30" s="1685" t="s">
        <v>750</v>
      </c>
      <c r="B30" s="1685"/>
      <c r="C30" s="1685"/>
      <c r="D30" s="1685"/>
      <c r="E30" s="1685"/>
      <c r="F30" s="1685"/>
      <c r="G30" s="55"/>
      <c r="H30" s="2"/>
      <c r="I30" s="2"/>
      <c r="J30" s="2"/>
      <c r="K30" s="2"/>
      <c r="L30" s="2"/>
      <c r="M30" s="2"/>
      <c r="N30" s="3"/>
    </row>
    <row r="31" spans="1:20" ht="16.5" customHeight="1">
      <c r="A31" s="67" t="s">
        <v>955</v>
      </c>
      <c r="B31" s="67"/>
    </row>
  </sheetData>
  <mergeCells count="31">
    <mergeCell ref="A16:A18"/>
    <mergeCell ref="B16:B18"/>
    <mergeCell ref="C16:L16"/>
    <mergeCell ref="M16:P16"/>
    <mergeCell ref="J10:J11"/>
    <mergeCell ref="K10:K11"/>
    <mergeCell ref="L10:L11"/>
    <mergeCell ref="R24:T24"/>
    <mergeCell ref="J24:L24"/>
    <mergeCell ref="Q24:Q25"/>
    <mergeCell ref="F24:F25"/>
    <mergeCell ref="M24:O24"/>
    <mergeCell ref="G24:I24"/>
    <mergeCell ref="P24:P25"/>
    <mergeCell ref="A30:F30"/>
    <mergeCell ref="A29:C29"/>
    <mergeCell ref="A24:A25"/>
    <mergeCell ref="B24:B25"/>
    <mergeCell ref="C24:C25"/>
    <mergeCell ref="D24:D25"/>
    <mergeCell ref="E24:E25"/>
    <mergeCell ref="Q16:Q18"/>
    <mergeCell ref="R16:R18"/>
    <mergeCell ref="S16:S18"/>
    <mergeCell ref="C17:E17"/>
    <mergeCell ref="F17:H17"/>
    <mergeCell ref="J17:L17"/>
    <mergeCell ref="M17:M18"/>
    <mergeCell ref="N17:N18"/>
    <mergeCell ref="O17:O18"/>
    <mergeCell ref="P17:P18"/>
  </mergeCells>
  <pageMargins left="0.7" right="0.7" top="0.75" bottom="0.75" header="0.3" footer="0.3"/>
  <pageSetup paperSize="9" scale="26"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5F613-D727-418D-BACB-0343D474A835}">
  <sheetPr>
    <tabColor theme="7" tint="0.79998168889431442"/>
  </sheetPr>
  <dimension ref="A1:T32"/>
  <sheetViews>
    <sheetView zoomScale="90" zoomScaleNormal="90" workbookViewId="0">
      <selection activeCell="J6" sqref="J6"/>
    </sheetView>
  </sheetViews>
  <sheetFormatPr defaultColWidth="9.140625" defaultRowHeight="15"/>
  <cols>
    <col min="1" max="2" width="24.140625" style="51" customWidth="1"/>
    <col min="3" max="3" width="24.28515625" style="51" customWidth="1"/>
    <col min="4" max="4" width="22.7109375" style="51" customWidth="1"/>
    <col min="5" max="5" width="14.42578125" style="51" customWidth="1"/>
    <col min="6" max="6" width="15.28515625" style="51" customWidth="1"/>
    <col min="7" max="7" width="16.5703125" style="51" customWidth="1"/>
    <col min="8" max="8" width="15.140625" style="51" customWidth="1"/>
    <col min="9" max="9" width="13.140625" style="51" customWidth="1"/>
    <col min="10" max="10" width="22.140625" style="51" customWidth="1"/>
    <col min="11" max="11" width="15.5703125" style="51" customWidth="1"/>
    <col min="12" max="12" width="13.28515625" style="51" customWidth="1"/>
    <col min="13" max="13" width="14.7109375" style="51" customWidth="1"/>
    <col min="14" max="14" width="11.42578125" style="51" bestFit="1" customWidth="1"/>
    <col min="15" max="15" width="11.28515625" style="51" customWidth="1"/>
    <col min="16" max="17" width="9.28515625" style="51" bestFit="1" customWidth="1"/>
    <col min="18" max="18" width="9.5703125" style="51" bestFit="1" customWidth="1"/>
    <col min="19" max="19" width="11.42578125" style="51" bestFit="1" customWidth="1"/>
    <col min="20" max="20" width="9.5703125" style="51" bestFit="1" customWidth="1"/>
    <col min="21" max="16384" width="9.140625" style="51"/>
  </cols>
  <sheetData>
    <row r="1" spans="1:20">
      <c r="Q1" s="168" t="s">
        <v>963</v>
      </c>
    </row>
    <row r="3" spans="1:20" ht="15.75">
      <c r="B3" s="1067" t="s">
        <v>962</v>
      </c>
      <c r="L3" s="53"/>
    </row>
    <row r="5" spans="1:20" ht="72" customHeight="1">
      <c r="A5" s="147" t="s">
        <v>200</v>
      </c>
      <c r="B5" s="147" t="s">
        <v>227</v>
      </c>
      <c r="C5" s="5" t="s">
        <v>228</v>
      </c>
      <c r="D5" s="5" t="s">
        <v>1018</v>
      </c>
    </row>
    <row r="6" spans="1:20" ht="60">
      <c r="A6" s="86" t="s">
        <v>86</v>
      </c>
      <c r="B6" s="691">
        <v>0</v>
      </c>
      <c r="C6" s="254">
        <f>K20</f>
        <v>492356</v>
      </c>
      <c r="D6" s="21">
        <f>O20</f>
        <v>861623</v>
      </c>
    </row>
    <row r="7" spans="1:20">
      <c r="A7" s="121"/>
      <c r="B7" s="121"/>
      <c r="C7" s="586"/>
      <c r="D7" s="408"/>
    </row>
    <row r="8" spans="1:20" ht="15" customHeight="1">
      <c r="A8" s="121"/>
      <c r="B8" s="121"/>
      <c r="C8" s="705"/>
      <c r="D8" s="703" t="s">
        <v>316</v>
      </c>
      <c r="E8" s="447" t="s">
        <v>317</v>
      </c>
      <c r="F8" s="447" t="s">
        <v>318</v>
      </c>
      <c r="G8" s="447" t="s">
        <v>319</v>
      </c>
      <c r="H8" s="448"/>
      <c r="I8" s="446"/>
      <c r="J8" s="446"/>
      <c r="K8" s="446"/>
      <c r="L8" s="1692" t="s">
        <v>340</v>
      </c>
      <c r="M8" s="1692" t="s">
        <v>341</v>
      </c>
      <c r="N8" s="1692" t="s">
        <v>342</v>
      </c>
    </row>
    <row r="9" spans="1:20">
      <c r="A9" s="121"/>
      <c r="B9" s="121"/>
      <c r="C9" s="704" t="s">
        <v>320</v>
      </c>
      <c r="D9" s="702">
        <v>2304</v>
      </c>
      <c r="E9" s="385">
        <v>1388</v>
      </c>
      <c r="F9" s="385">
        <v>925</v>
      </c>
      <c r="G9" s="447"/>
      <c r="H9" s="446"/>
      <c r="I9" s="446"/>
      <c r="J9" s="446"/>
      <c r="K9" s="446"/>
      <c r="L9" s="1693"/>
      <c r="M9" s="1693"/>
      <c r="N9" s="1693"/>
    </row>
    <row r="10" spans="1:20">
      <c r="A10" s="121"/>
      <c r="B10" s="121"/>
      <c r="C10" s="704" t="s">
        <v>321</v>
      </c>
      <c r="D10" s="701">
        <f>ROUND(D9/9600,4)</f>
        <v>0.24</v>
      </c>
      <c r="E10" s="386">
        <f t="shared" ref="E10:F10" si="0">ROUND(E9/9600,4)</f>
        <v>0.14460000000000001</v>
      </c>
      <c r="F10" s="386">
        <f t="shared" si="0"/>
        <v>9.64E-2</v>
      </c>
      <c r="G10" s="447">
        <v>0.2359</v>
      </c>
      <c r="H10" s="446"/>
      <c r="I10" s="446"/>
      <c r="J10" s="446"/>
      <c r="K10" s="449" t="s">
        <v>343</v>
      </c>
      <c r="L10" s="447">
        <v>0.28570000000000001</v>
      </c>
      <c r="M10" s="447">
        <v>2.0199999999999999E-2</v>
      </c>
      <c r="N10" s="447">
        <v>3.2199999999999999E-2</v>
      </c>
    </row>
    <row r="12" spans="1:20">
      <c r="A12" s="1531" t="s">
        <v>232</v>
      </c>
      <c r="B12" s="665"/>
      <c r="C12" s="1531" t="s">
        <v>231</v>
      </c>
      <c r="D12" s="1534" t="s">
        <v>344</v>
      </c>
      <c r="E12" s="1534"/>
      <c r="F12" s="1534"/>
      <c r="G12" s="1534"/>
      <c r="H12" s="1534"/>
      <c r="I12" s="1534"/>
      <c r="J12" s="1534"/>
      <c r="K12" s="1534"/>
      <c r="L12" s="1534"/>
      <c r="M12" s="1535"/>
      <c r="N12" s="1534" t="s">
        <v>32</v>
      </c>
      <c r="O12" s="1534"/>
      <c r="P12" s="1534"/>
      <c r="Q12" s="1535"/>
      <c r="R12" s="1531" t="s">
        <v>345</v>
      </c>
      <c r="S12" s="1531" t="s">
        <v>346</v>
      </c>
      <c r="T12" s="1531" t="s">
        <v>233</v>
      </c>
    </row>
    <row r="13" spans="1:20" ht="45">
      <c r="A13" s="1532"/>
      <c r="B13" s="666"/>
      <c r="C13" s="1532"/>
      <c r="D13" s="1534" t="s">
        <v>347</v>
      </c>
      <c r="E13" s="1534"/>
      <c r="F13" s="1535"/>
      <c r="G13" s="1534" t="s">
        <v>348</v>
      </c>
      <c r="H13" s="1534"/>
      <c r="I13" s="1535"/>
      <c r="J13" s="136" t="s">
        <v>349</v>
      </c>
      <c r="K13" s="1534" t="s">
        <v>350</v>
      </c>
      <c r="L13" s="1534"/>
      <c r="M13" s="1535"/>
      <c r="N13" s="1532" t="s">
        <v>351</v>
      </c>
      <c r="O13" s="1532" t="s">
        <v>352</v>
      </c>
      <c r="P13" s="1532" t="s">
        <v>353</v>
      </c>
      <c r="Q13" s="1532" t="s">
        <v>354</v>
      </c>
      <c r="R13" s="1532"/>
      <c r="S13" s="1532"/>
      <c r="T13" s="1532"/>
    </row>
    <row r="14" spans="1:20" ht="45">
      <c r="A14" s="1533"/>
      <c r="B14" s="667"/>
      <c r="C14" s="1533"/>
      <c r="D14" s="407" t="s">
        <v>355</v>
      </c>
      <c r="E14" s="407" t="s">
        <v>356</v>
      </c>
      <c r="F14" s="407" t="s">
        <v>357</v>
      </c>
      <c r="G14" s="407" t="s">
        <v>355</v>
      </c>
      <c r="H14" s="407" t="s">
        <v>356</v>
      </c>
      <c r="I14" s="407" t="s">
        <v>358</v>
      </c>
      <c r="J14" s="407" t="s">
        <v>359</v>
      </c>
      <c r="K14" s="407" t="s">
        <v>360</v>
      </c>
      <c r="L14" s="407" t="s">
        <v>361</v>
      </c>
      <c r="M14" s="407" t="s">
        <v>362</v>
      </c>
      <c r="N14" s="1532"/>
      <c r="O14" s="1532"/>
      <c r="P14" s="1532"/>
      <c r="Q14" s="1532"/>
      <c r="R14" s="1532"/>
      <c r="S14" s="1532"/>
      <c r="T14" s="1532"/>
    </row>
    <row r="15" spans="1:20" ht="56.25" customHeight="1">
      <c r="A15" s="668" t="s">
        <v>751</v>
      </c>
      <c r="B15" s="706"/>
      <c r="C15" s="458" t="s">
        <v>752</v>
      </c>
      <c r="D15" s="421">
        <v>360</v>
      </c>
      <c r="E15" s="421">
        <v>360</v>
      </c>
      <c r="F15" s="421">
        <v>0</v>
      </c>
      <c r="G15" s="422">
        <f>ROUND((D15*D10),2)</f>
        <v>86.4</v>
      </c>
      <c r="H15" s="422">
        <f>ROUND((E15*E10),2)</f>
        <v>52.06</v>
      </c>
      <c r="I15" s="422">
        <v>0</v>
      </c>
      <c r="J15" s="422">
        <f>ROUND(((G15+H15+I15)*G10),2)</f>
        <v>32.659999999999997</v>
      </c>
      <c r="K15" s="20">
        <f>L15+M15</f>
        <v>24242.809999999998</v>
      </c>
      <c r="L15" s="20">
        <v>79.03</v>
      </c>
      <c r="M15" s="20">
        <v>24163.78</v>
      </c>
      <c r="N15" s="422">
        <v>157.04</v>
      </c>
      <c r="O15" s="422">
        <f>ROUND(((G15+H15+I15)*L10),2)</f>
        <v>39.56</v>
      </c>
      <c r="P15" s="422">
        <f>ROUND(((G15+H15+I15)*M10),2)</f>
        <v>2.8</v>
      </c>
      <c r="Q15" s="422">
        <f>ROUND(((G15+H15+I15)*N10),2)</f>
        <v>4.46</v>
      </c>
      <c r="R15" s="423">
        <f>ROUND((G15+H15+I15+J15+K15+N15+O15+P15+Q15),2)</f>
        <v>24617.79</v>
      </c>
      <c r="S15" s="423">
        <v>0</v>
      </c>
      <c r="T15" s="423">
        <f>R15-S15</f>
        <v>24617.79</v>
      </c>
    </row>
    <row r="18" spans="1:16" ht="29.25" customHeight="1">
      <c r="A18" s="1523" t="s">
        <v>232</v>
      </c>
      <c r="B18" s="18"/>
      <c r="C18" s="1523" t="s">
        <v>231</v>
      </c>
      <c r="D18" s="1700" t="s">
        <v>249</v>
      </c>
      <c r="E18" s="1699" t="s">
        <v>753</v>
      </c>
      <c r="F18" s="1702" t="s">
        <v>754</v>
      </c>
      <c r="G18" s="1523" t="s">
        <v>251</v>
      </c>
      <c r="H18" s="1526" t="s">
        <v>755</v>
      </c>
      <c r="I18" s="1527"/>
      <c r="J18" s="1698"/>
      <c r="K18" s="1696" t="s">
        <v>756</v>
      </c>
      <c r="L18" s="1695" t="s">
        <v>757</v>
      </c>
      <c r="M18" s="1695"/>
      <c r="N18" s="1695"/>
      <c r="O18" s="1694" t="s">
        <v>758</v>
      </c>
      <c r="P18" s="605"/>
    </row>
    <row r="19" spans="1:16" ht="29.25" customHeight="1">
      <c r="A19" s="1525"/>
      <c r="B19" s="664"/>
      <c r="C19" s="1525"/>
      <c r="D19" s="1701"/>
      <c r="E19" s="1699"/>
      <c r="F19" s="1703"/>
      <c r="G19" s="1525"/>
      <c r="H19" s="4" t="s">
        <v>377</v>
      </c>
      <c r="I19" s="5" t="s">
        <v>378</v>
      </c>
      <c r="J19" s="5" t="s">
        <v>379</v>
      </c>
      <c r="K19" s="1697"/>
      <c r="L19" s="664" t="s">
        <v>377</v>
      </c>
      <c r="M19" s="707" t="s">
        <v>378</v>
      </c>
      <c r="N19" s="708" t="s">
        <v>379</v>
      </c>
      <c r="O19" s="1688"/>
      <c r="P19" s="121"/>
    </row>
    <row r="20" spans="1:16" ht="68.25" customHeight="1">
      <c r="A20" s="669" t="s">
        <v>751</v>
      </c>
      <c r="B20" s="669"/>
      <c r="C20" s="453" t="s">
        <v>752</v>
      </c>
      <c r="D20" s="450">
        <f>T15</f>
        <v>24617.79</v>
      </c>
      <c r="E20" s="452" t="s">
        <v>759</v>
      </c>
      <c r="F20" s="160">
        <v>0</v>
      </c>
      <c r="G20" s="72">
        <v>1</v>
      </c>
      <c r="H20" s="451">
        <v>0</v>
      </c>
      <c r="I20" s="451">
        <v>0</v>
      </c>
      <c r="J20" s="670">
        <v>20</v>
      </c>
      <c r="K20" s="1192">
        <f>ROUND(D20*J20,0)</f>
        <v>492356</v>
      </c>
      <c r="L20" s="451">
        <v>0</v>
      </c>
      <c r="M20" s="451">
        <v>0</v>
      </c>
      <c r="N20" s="671">
        <v>35</v>
      </c>
      <c r="O20" s="1192">
        <f>ROUND(D20*N20,0)</f>
        <v>861623</v>
      </c>
      <c r="P20" s="606"/>
    </row>
    <row r="21" spans="1:16">
      <c r="A21" s="51" t="s">
        <v>760</v>
      </c>
      <c r="L21" s="51" t="s">
        <v>761</v>
      </c>
      <c r="N21" s="604"/>
    </row>
    <row r="22" spans="1:16">
      <c r="A22" s="51" t="s">
        <v>762</v>
      </c>
    </row>
    <row r="32" spans="1:16">
      <c r="C32" s="709"/>
    </row>
  </sheetData>
  <mergeCells count="27">
    <mergeCell ref="K18:K19"/>
    <mergeCell ref="H18:J18"/>
    <mergeCell ref="G18:G19"/>
    <mergeCell ref="E18:E19"/>
    <mergeCell ref="A18:A19"/>
    <mergeCell ref="C18:C19"/>
    <mergeCell ref="D18:D19"/>
    <mergeCell ref="F18:F19"/>
    <mergeCell ref="A12:A14"/>
    <mergeCell ref="C12:C14"/>
    <mergeCell ref="D12:M12"/>
    <mergeCell ref="N12:Q12"/>
    <mergeCell ref="R12:R14"/>
    <mergeCell ref="T12:T14"/>
    <mergeCell ref="D13:F13"/>
    <mergeCell ref="G13:I13"/>
    <mergeCell ref="K13:M13"/>
    <mergeCell ref="N13:N14"/>
    <mergeCell ref="O13:O14"/>
    <mergeCell ref="P13:P14"/>
    <mergeCell ref="Q13:Q14"/>
    <mergeCell ref="L8:L9"/>
    <mergeCell ref="M8:M9"/>
    <mergeCell ref="N8:N9"/>
    <mergeCell ref="S12:S14"/>
    <mergeCell ref="O18:O19"/>
    <mergeCell ref="L18:N18"/>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4A490-2722-4117-8A3C-33E5EA6C0B54}">
  <sheetPr>
    <tabColor theme="7" tint="0.79998168889431442"/>
  </sheetPr>
  <dimension ref="A1:M13"/>
  <sheetViews>
    <sheetView view="pageBreakPreview" zoomScale="60" zoomScaleNormal="100" workbookViewId="0">
      <selection activeCell="B11" sqref="B11"/>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J1" s="986" t="s">
        <v>992</v>
      </c>
    </row>
    <row r="2" spans="1:13" ht="35.25" customHeight="1">
      <c r="A2" s="1459" t="s">
        <v>989</v>
      </c>
      <c r="B2" s="1459"/>
      <c r="C2" s="1459"/>
      <c r="D2" s="987"/>
    </row>
    <row r="3" spans="1:13">
      <c r="A3" s="1462" t="s">
        <v>1</v>
      </c>
      <c r="B3" s="1518" t="s">
        <v>794</v>
      </c>
      <c r="C3" s="1518"/>
      <c r="D3" s="987"/>
    </row>
    <row r="4" spans="1:13">
      <c r="A4" s="1463"/>
      <c r="B4" s="988" t="s">
        <v>765</v>
      </c>
      <c r="C4" s="989" t="s">
        <v>766</v>
      </c>
      <c r="D4" s="990"/>
    </row>
    <row r="5" spans="1:13" ht="25.5">
      <c r="A5" s="991" t="s">
        <v>989</v>
      </c>
      <c r="B5" s="992">
        <v>0</v>
      </c>
      <c r="C5" s="503">
        <f>3500*1.21</f>
        <v>4235</v>
      </c>
      <c r="D5" s="990"/>
    </row>
    <row r="6" spans="1:13" ht="59.25" customHeight="1">
      <c r="A6" s="1460" t="s">
        <v>767</v>
      </c>
      <c r="B6" s="1460"/>
      <c r="C6" s="1460"/>
      <c r="D6" s="990"/>
    </row>
    <row r="7" spans="1:13">
      <c r="A7" s="1466"/>
      <c r="B7" s="1466"/>
      <c r="C7" s="1466"/>
    </row>
    <row r="9" spans="1:13">
      <c r="A9" s="1459" t="s">
        <v>989</v>
      </c>
      <c r="B9" s="1459"/>
      <c r="C9" s="1459"/>
      <c r="D9" s="1459"/>
      <c r="E9" s="1459"/>
      <c r="F9" s="1459"/>
      <c r="G9" s="1459"/>
      <c r="H9" s="1459"/>
      <c r="I9" s="1459"/>
      <c r="J9" s="1459"/>
      <c r="K9" s="1459"/>
    </row>
    <row r="10" spans="1:13" ht="63.75">
      <c r="A10" s="993"/>
      <c r="B10" s="994" t="s">
        <v>1</v>
      </c>
      <c r="C10" s="994" t="s">
        <v>2</v>
      </c>
      <c r="D10" s="988" t="s">
        <v>3</v>
      </c>
      <c r="E10" s="988" t="s">
        <v>768</v>
      </c>
      <c r="F10" s="988" t="s">
        <v>769</v>
      </c>
      <c r="G10" s="988" t="s">
        <v>770</v>
      </c>
      <c r="H10" s="988" t="s">
        <v>771</v>
      </c>
      <c r="I10" s="988" t="s">
        <v>772</v>
      </c>
      <c r="J10" s="988" t="s">
        <v>773</v>
      </c>
      <c r="K10" s="988" t="s">
        <v>774</v>
      </c>
    </row>
    <row r="11" spans="1:13" ht="105" customHeight="1">
      <c r="A11" s="995" t="s">
        <v>991</v>
      </c>
      <c r="B11" s="991" t="s">
        <v>989</v>
      </c>
      <c r="C11" s="996"/>
      <c r="D11" s="996"/>
      <c r="E11" s="994" t="s">
        <v>779</v>
      </c>
      <c r="F11" s="992">
        <v>5</v>
      </c>
      <c r="G11" s="992">
        <v>700</v>
      </c>
      <c r="H11" s="992">
        <f>F11*G11</f>
        <v>3500</v>
      </c>
      <c r="I11" s="992">
        <v>21</v>
      </c>
      <c r="J11" s="992">
        <f>G11*1.21</f>
        <v>847</v>
      </c>
      <c r="K11" s="992">
        <f>F11*J11</f>
        <v>4235</v>
      </c>
      <c r="M11" s="997"/>
    </row>
    <row r="12" spans="1:13">
      <c r="A12" s="502"/>
      <c r="B12" s="502"/>
      <c r="C12" s="502"/>
      <c r="D12" s="502"/>
      <c r="E12" s="502"/>
      <c r="F12" s="502"/>
      <c r="G12" s="502"/>
      <c r="H12" s="998">
        <f>SUM(H11:H11)</f>
        <v>3500</v>
      </c>
      <c r="I12" s="502"/>
      <c r="J12" s="998"/>
      <c r="K12" s="992">
        <f>SUM(K11:K11)</f>
        <v>4235</v>
      </c>
    </row>
    <row r="13" spans="1:13" ht="36.75" customHeight="1">
      <c r="A13" s="1460" t="s">
        <v>767</v>
      </c>
      <c r="B13" s="1460"/>
      <c r="C13" s="1460"/>
      <c r="D13" s="1460"/>
      <c r="E13" s="1460"/>
      <c r="F13" s="1460"/>
      <c r="G13" s="1460"/>
      <c r="H13" s="1460"/>
      <c r="I13" s="1460"/>
      <c r="J13" s="1460"/>
      <c r="K13" s="1460"/>
    </row>
  </sheetData>
  <mergeCells count="7">
    <mergeCell ref="A9:K9"/>
    <mergeCell ref="A13:K13"/>
    <mergeCell ref="A2:C2"/>
    <mergeCell ref="A3:A4"/>
    <mergeCell ref="B3:C3"/>
    <mergeCell ref="A6:C6"/>
    <mergeCell ref="A7:C7"/>
  </mergeCells>
  <pageMargins left="0.7" right="0.7" top="0.75" bottom="0.75" header="0.3" footer="0.3"/>
  <pageSetup paperSize="9" scale="46"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087A3-0D6B-489D-A284-AC70901085DC}">
  <sheetPr>
    <tabColor theme="5" tint="0.79998168889431442"/>
  </sheetPr>
  <dimension ref="A1:M16"/>
  <sheetViews>
    <sheetView view="pageBreakPreview" zoomScale="60" zoomScaleNormal="100" workbookViewId="0">
      <selection activeCell="C6" sqref="C6"/>
    </sheetView>
  </sheetViews>
  <sheetFormatPr defaultRowHeight="15"/>
  <cols>
    <col min="1" max="1" width="40.5703125" customWidth="1"/>
    <col min="2" max="2" width="28.5703125" customWidth="1"/>
    <col min="3" max="3" width="38.140625" customWidth="1"/>
    <col min="4" max="4" width="12.7109375" customWidth="1"/>
  </cols>
  <sheetData>
    <row r="1" spans="1:13">
      <c r="J1" s="168" t="s">
        <v>1000</v>
      </c>
    </row>
    <row r="2" spans="1:13" ht="48.75" customHeight="1">
      <c r="B2" s="1616" t="s">
        <v>833</v>
      </c>
      <c r="C2" s="1616"/>
      <c r="D2" s="1616"/>
      <c r="E2" s="1616"/>
      <c r="F2" s="1616"/>
    </row>
    <row r="3" spans="1:13">
      <c r="A3" s="1217"/>
      <c r="B3" s="1217"/>
      <c r="C3" s="1217"/>
      <c r="D3" s="987"/>
      <c r="E3" s="168"/>
      <c r="F3" s="168"/>
      <c r="G3" s="168"/>
      <c r="H3" s="168"/>
      <c r="I3" s="168"/>
      <c r="J3" s="168"/>
      <c r="K3" s="168"/>
      <c r="L3" s="168"/>
      <c r="M3" s="168"/>
    </row>
    <row r="4" spans="1:13">
      <c r="A4" s="1462" t="s">
        <v>1</v>
      </c>
      <c r="B4" s="1518" t="s">
        <v>794</v>
      </c>
      <c r="C4" s="1518"/>
      <c r="D4" s="987"/>
      <c r="E4" s="168"/>
      <c r="F4" s="168"/>
      <c r="G4" s="168"/>
      <c r="H4" s="168"/>
      <c r="I4" s="168"/>
      <c r="J4" s="168"/>
      <c r="K4" s="168"/>
      <c r="L4" s="168"/>
      <c r="M4" s="168"/>
    </row>
    <row r="5" spans="1:13">
      <c r="A5" s="1463"/>
      <c r="B5" s="988" t="s">
        <v>765</v>
      </c>
      <c r="C5" s="989" t="s">
        <v>766</v>
      </c>
      <c r="D5" s="990"/>
      <c r="E5" s="168"/>
      <c r="F5" s="168"/>
      <c r="G5" s="168"/>
      <c r="H5" s="168"/>
      <c r="I5" s="168"/>
      <c r="J5" s="168"/>
      <c r="K5" s="168"/>
      <c r="L5" s="168"/>
      <c r="M5" s="168"/>
    </row>
    <row r="6" spans="1:13" ht="64.5" customHeight="1">
      <c r="A6" s="1216" t="s">
        <v>833</v>
      </c>
      <c r="B6" s="992">
        <v>0</v>
      </c>
      <c r="C6" s="992">
        <f>15000*1.21</f>
        <v>18150</v>
      </c>
      <c r="D6" s="990"/>
      <c r="E6" s="168"/>
      <c r="F6" s="168"/>
      <c r="G6" s="168"/>
      <c r="H6" s="168"/>
      <c r="I6" s="168"/>
      <c r="J6" s="168"/>
      <c r="K6" s="168"/>
      <c r="L6" s="168"/>
      <c r="M6" s="168"/>
    </row>
    <row r="7" spans="1:13" ht="15" customHeight="1">
      <c r="A7" s="296" t="s">
        <v>998</v>
      </c>
      <c r="B7" s="1000"/>
      <c r="C7" s="1000"/>
      <c r="D7" s="990"/>
      <c r="E7" s="168"/>
      <c r="F7" s="168"/>
      <c r="G7" s="168"/>
      <c r="H7" s="168"/>
      <c r="I7" s="168"/>
      <c r="J7" s="168"/>
      <c r="K7" s="168"/>
      <c r="L7" s="168"/>
      <c r="M7" s="168"/>
    </row>
    <row r="8" spans="1:13">
      <c r="A8" s="1466"/>
      <c r="B8" s="1466"/>
      <c r="C8" s="1466"/>
      <c r="D8" s="168"/>
      <c r="E8" s="168"/>
      <c r="F8" s="168"/>
      <c r="G8" s="168"/>
      <c r="H8" s="168"/>
      <c r="I8" s="168"/>
      <c r="J8" s="168"/>
      <c r="K8" s="168"/>
      <c r="L8" s="168"/>
      <c r="M8" s="168"/>
    </row>
    <row r="9" spans="1:13">
      <c r="A9" s="168"/>
      <c r="B9" s="168"/>
      <c r="C9" s="168"/>
      <c r="D9" s="168"/>
      <c r="E9" s="168"/>
      <c r="F9" s="168"/>
      <c r="G9" s="168"/>
      <c r="H9" s="168"/>
      <c r="I9" s="168"/>
      <c r="J9" s="168"/>
      <c r="K9" s="168"/>
      <c r="L9" s="168"/>
      <c r="M9" s="168"/>
    </row>
    <row r="10" spans="1:13">
      <c r="A10" s="168"/>
      <c r="B10" s="168"/>
      <c r="C10" s="168"/>
      <c r="D10" s="168"/>
      <c r="E10" s="168"/>
      <c r="F10" s="168"/>
      <c r="G10" s="168"/>
      <c r="H10" s="168"/>
      <c r="I10" s="168"/>
      <c r="J10" s="168"/>
      <c r="K10" s="168"/>
      <c r="L10" s="168"/>
      <c r="M10" s="168"/>
    </row>
    <row r="11" spans="1:13">
      <c r="A11" s="1459"/>
      <c r="B11" s="1459"/>
      <c r="C11" s="1459"/>
      <c r="D11" s="1459"/>
      <c r="E11" s="1459"/>
      <c r="F11" s="1459"/>
      <c r="G11" s="1459"/>
      <c r="H11" s="1459"/>
      <c r="I11" s="1459"/>
      <c r="J11" s="1459"/>
      <c r="K11" s="1459"/>
      <c r="L11" s="168"/>
      <c r="M11" s="168"/>
    </row>
    <row r="12" spans="1:13" ht="63.75">
      <c r="A12" s="993"/>
      <c r="B12" s="994" t="s">
        <v>1</v>
      </c>
      <c r="C12" s="994" t="s">
        <v>2</v>
      </c>
      <c r="D12" s="988" t="s">
        <v>3</v>
      </c>
      <c r="E12" s="988" t="s">
        <v>768</v>
      </c>
      <c r="F12" s="988" t="s">
        <v>769</v>
      </c>
      <c r="G12" s="988" t="s">
        <v>770</v>
      </c>
      <c r="H12" s="988" t="s">
        <v>771</v>
      </c>
      <c r="I12" s="988" t="s">
        <v>772</v>
      </c>
      <c r="J12" s="988" t="s">
        <v>773</v>
      </c>
      <c r="K12" s="988" t="s">
        <v>774</v>
      </c>
      <c r="L12" s="168"/>
      <c r="M12" s="168"/>
    </row>
    <row r="13" spans="1:13" ht="15" customHeight="1">
      <c r="A13" s="1519"/>
      <c r="B13" s="1519" t="s">
        <v>833</v>
      </c>
      <c r="C13" s="1521"/>
      <c r="D13" s="1704">
        <v>150</v>
      </c>
      <c r="E13" s="994"/>
      <c r="F13" s="992">
        <v>1</v>
      </c>
      <c r="G13" s="992"/>
      <c r="H13" s="992">
        <f>F13*G13</f>
        <v>0</v>
      </c>
      <c r="I13" s="992">
        <v>21</v>
      </c>
      <c r="J13" s="992">
        <f>G13*1.21</f>
        <v>0</v>
      </c>
      <c r="K13" s="992">
        <f>F13*J13</f>
        <v>0</v>
      </c>
      <c r="L13" s="168"/>
      <c r="M13" s="168"/>
    </row>
    <row r="14" spans="1:13" ht="97.5" customHeight="1">
      <c r="A14" s="1520"/>
      <c r="B14" s="1520"/>
      <c r="C14" s="1522"/>
      <c r="D14" s="1705"/>
      <c r="E14" s="994"/>
      <c r="F14" s="992"/>
      <c r="G14" s="992">
        <v>100</v>
      </c>
      <c r="H14" s="992">
        <f>D13*G14</f>
        <v>15000</v>
      </c>
      <c r="I14" s="992">
        <v>0.21</v>
      </c>
      <c r="J14" s="992">
        <v>121</v>
      </c>
      <c r="K14" s="992">
        <f>D13*J14</f>
        <v>18150</v>
      </c>
      <c r="L14" s="168"/>
      <c r="M14" s="168"/>
    </row>
    <row r="15" spans="1:13">
      <c r="A15" s="502"/>
      <c r="B15" s="502"/>
      <c r="C15" s="502"/>
      <c r="D15" s="502"/>
      <c r="E15" s="502"/>
      <c r="F15" s="502"/>
      <c r="G15" s="502"/>
      <c r="H15" s="998"/>
      <c r="I15" s="502"/>
      <c r="J15" s="998"/>
      <c r="K15" s="992">
        <f>K14</f>
        <v>18150</v>
      </c>
      <c r="L15" s="168"/>
      <c r="M15" s="168"/>
    </row>
    <row r="16" spans="1:13" ht="16.5" customHeight="1">
      <c r="A16" s="1460" t="s">
        <v>998</v>
      </c>
      <c r="B16" s="1460"/>
      <c r="C16" s="1460"/>
      <c r="D16" s="1460"/>
      <c r="E16" s="1460"/>
      <c r="F16" s="1460"/>
      <c r="G16" s="1460"/>
      <c r="H16" s="1460"/>
      <c r="I16" s="1460"/>
      <c r="J16" s="1460"/>
      <c r="K16" s="1460"/>
      <c r="L16" s="168"/>
      <c r="M16" s="168"/>
    </row>
  </sheetData>
  <mergeCells count="10">
    <mergeCell ref="A16:K16"/>
    <mergeCell ref="A4:A5"/>
    <mergeCell ref="B4:C4"/>
    <mergeCell ref="A8:C8"/>
    <mergeCell ref="A11:K11"/>
    <mergeCell ref="B2:F2"/>
    <mergeCell ref="A13:A14"/>
    <mergeCell ref="B13:B14"/>
    <mergeCell ref="C13:C14"/>
    <mergeCell ref="D13:D14"/>
  </mergeCells>
  <pageMargins left="0.7" right="0.7" top="0.75" bottom="0.75" header="0.3" footer="0.3"/>
  <pageSetup paperSize="9" scale="45"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30642-BA60-457D-83EB-19BE8C2D1B2C}">
  <sheetPr>
    <tabColor theme="5" tint="0.79998168889431442"/>
  </sheetPr>
  <dimension ref="A1:M15"/>
  <sheetViews>
    <sheetView view="pageBreakPreview" zoomScale="60" zoomScaleNormal="100" workbookViewId="0">
      <selection activeCell="J1" sqref="J1"/>
    </sheetView>
  </sheetViews>
  <sheetFormatPr defaultRowHeight="15"/>
  <cols>
    <col min="1" max="1" width="40.5703125" customWidth="1"/>
    <col min="2" max="2" width="28.5703125" customWidth="1"/>
    <col min="3" max="3" width="38.140625" customWidth="1"/>
  </cols>
  <sheetData>
    <row r="1" spans="1:13">
      <c r="J1" s="168" t="s">
        <v>1001</v>
      </c>
    </row>
    <row r="2" spans="1:13" ht="15.75">
      <c r="B2" s="1066" t="s">
        <v>187</v>
      </c>
    </row>
    <row r="3" spans="1:13">
      <c r="A3" s="1459"/>
      <c r="B3" s="1459"/>
      <c r="C3" s="1459"/>
      <c r="D3" s="987"/>
      <c r="E3" s="168"/>
      <c r="F3" s="168"/>
      <c r="G3" s="168"/>
      <c r="H3" s="168"/>
      <c r="I3" s="168"/>
      <c r="K3" s="168"/>
      <c r="L3" s="168"/>
      <c r="M3" s="168"/>
    </row>
    <row r="4" spans="1:13">
      <c r="A4" s="1462" t="s">
        <v>1</v>
      </c>
      <c r="B4" s="1518" t="s">
        <v>794</v>
      </c>
      <c r="C4" s="1518"/>
      <c r="D4" s="987"/>
      <c r="E4" s="168"/>
      <c r="F4" s="168"/>
      <c r="G4" s="168"/>
      <c r="H4" s="168"/>
      <c r="I4" s="168"/>
      <c r="J4" s="168"/>
      <c r="K4" s="168"/>
      <c r="L4" s="168"/>
      <c r="M4" s="168"/>
    </row>
    <row r="5" spans="1:13">
      <c r="A5" s="1463"/>
      <c r="B5" s="988" t="s">
        <v>765</v>
      </c>
      <c r="C5" s="989" t="s">
        <v>766</v>
      </c>
      <c r="D5" s="990"/>
      <c r="E5" s="168"/>
      <c r="F5" s="168"/>
      <c r="G5" s="168"/>
      <c r="H5" s="168"/>
      <c r="I5" s="168"/>
      <c r="J5" s="168"/>
      <c r="K5" s="168"/>
      <c r="L5" s="168"/>
      <c r="M5" s="168"/>
    </row>
    <row r="6" spans="1:13" ht="30.75" customHeight="1">
      <c r="A6" s="716" t="s">
        <v>187</v>
      </c>
      <c r="B6" s="992">
        <v>0</v>
      </c>
      <c r="C6" s="992">
        <f>12000*1.21</f>
        <v>14520</v>
      </c>
      <c r="D6" s="990"/>
      <c r="E6" s="168"/>
      <c r="F6" s="168"/>
      <c r="G6" s="168"/>
      <c r="H6" s="168"/>
      <c r="I6" s="168"/>
      <c r="J6" s="168"/>
      <c r="K6" s="168"/>
      <c r="L6" s="168"/>
      <c r="M6" s="168"/>
    </row>
    <row r="7" spans="1:13" ht="16.5" customHeight="1">
      <c r="A7" s="1460" t="s">
        <v>998</v>
      </c>
      <c r="B7" s="1460"/>
      <c r="C7" s="1460"/>
      <c r="D7" s="990"/>
      <c r="E7" s="168"/>
      <c r="F7" s="168"/>
      <c r="G7" s="168"/>
      <c r="H7" s="168"/>
      <c r="I7" s="168"/>
      <c r="J7" s="168"/>
      <c r="K7" s="168"/>
      <c r="L7" s="168"/>
      <c r="M7" s="168"/>
    </row>
    <row r="8" spans="1:13">
      <c r="A8" s="1466"/>
      <c r="B8" s="1466"/>
      <c r="C8" s="1466"/>
      <c r="D8" s="168"/>
      <c r="E8" s="168"/>
      <c r="F8" s="168"/>
      <c r="G8" s="168"/>
      <c r="H8" s="168"/>
      <c r="I8" s="168"/>
      <c r="J8" s="168"/>
      <c r="K8" s="168"/>
      <c r="L8" s="168"/>
      <c r="M8" s="168"/>
    </row>
    <row r="9" spans="1:13">
      <c r="A9" s="168"/>
      <c r="B9" s="168"/>
      <c r="C9" s="168"/>
      <c r="D9" s="168"/>
      <c r="E9" s="168"/>
      <c r="F9" s="168"/>
      <c r="G9" s="168"/>
      <c r="H9" s="168"/>
      <c r="I9" s="168"/>
      <c r="J9" s="168"/>
      <c r="K9" s="168"/>
      <c r="L9" s="168"/>
      <c r="M9" s="168"/>
    </row>
    <row r="10" spans="1:13">
      <c r="A10" s="1459"/>
      <c r="B10" s="1459"/>
      <c r="C10" s="1459"/>
      <c r="D10" s="1459"/>
      <c r="E10" s="1459"/>
      <c r="F10" s="1459"/>
      <c r="G10" s="1459"/>
      <c r="H10" s="1459"/>
      <c r="I10" s="1459"/>
      <c r="J10" s="1459"/>
      <c r="K10" s="1459"/>
      <c r="L10" s="168"/>
      <c r="M10" s="168"/>
    </row>
    <row r="11" spans="1:13" ht="63.75">
      <c r="A11" s="993"/>
      <c r="B11" s="994" t="s">
        <v>1</v>
      </c>
      <c r="C11" s="994" t="s">
        <v>2</v>
      </c>
      <c r="D11" s="988" t="s">
        <v>3</v>
      </c>
      <c r="E11" s="988" t="s">
        <v>768</v>
      </c>
      <c r="F11" s="988" t="s">
        <v>769</v>
      </c>
      <c r="G11" s="988" t="s">
        <v>770</v>
      </c>
      <c r="H11" s="988" t="s">
        <v>771</v>
      </c>
      <c r="I11" s="988" t="s">
        <v>772</v>
      </c>
      <c r="J11" s="988" t="s">
        <v>773</v>
      </c>
      <c r="K11" s="988" t="s">
        <v>774</v>
      </c>
      <c r="L11" s="168"/>
      <c r="M11" s="168"/>
    </row>
    <row r="12" spans="1:13" ht="15" customHeight="1">
      <c r="A12" s="1519"/>
      <c r="B12" s="1519" t="s">
        <v>187</v>
      </c>
      <c r="C12" s="1521"/>
      <c r="D12" s="1704">
        <v>200</v>
      </c>
      <c r="E12" s="1462"/>
      <c r="F12" s="992">
        <v>1</v>
      </c>
      <c r="G12" s="992"/>
      <c r="H12" s="992">
        <f>F12*G12</f>
        <v>0</v>
      </c>
      <c r="I12" s="992">
        <v>21</v>
      </c>
      <c r="J12" s="992">
        <f>G12*1.21</f>
        <v>0</v>
      </c>
      <c r="K12" s="992">
        <f>F12*J12</f>
        <v>0</v>
      </c>
      <c r="L12" s="168"/>
      <c r="M12" s="168"/>
    </row>
    <row r="13" spans="1:13" ht="32.25" customHeight="1">
      <c r="A13" s="1520"/>
      <c r="B13" s="1520"/>
      <c r="C13" s="1522"/>
      <c r="D13" s="1705"/>
      <c r="E13" s="1463"/>
      <c r="F13" s="992"/>
      <c r="G13" s="992">
        <v>60</v>
      </c>
      <c r="H13" s="992">
        <f>D12*G13</f>
        <v>12000</v>
      </c>
      <c r="I13" s="992">
        <v>0.21</v>
      </c>
      <c r="J13" s="992">
        <v>72.599999999999994</v>
      </c>
      <c r="K13" s="992">
        <f>J13*D12</f>
        <v>14519.999999999998</v>
      </c>
      <c r="L13" s="168"/>
      <c r="M13" s="168"/>
    </row>
    <row r="14" spans="1:13">
      <c r="A14" s="502"/>
      <c r="B14" s="502"/>
      <c r="C14" s="502"/>
      <c r="D14" s="502"/>
      <c r="E14" s="502"/>
      <c r="F14" s="502"/>
      <c r="G14" s="502"/>
      <c r="H14" s="998"/>
      <c r="I14" s="502"/>
      <c r="J14" s="998"/>
      <c r="K14" s="992">
        <f>K13</f>
        <v>14519.999999999998</v>
      </c>
      <c r="L14" s="168"/>
      <c r="M14" s="168"/>
    </row>
    <row r="15" spans="1:13" ht="20.25" customHeight="1">
      <c r="A15" s="1460" t="s">
        <v>998</v>
      </c>
      <c r="B15" s="1460"/>
      <c r="C15" s="1460"/>
      <c r="D15" s="1460"/>
      <c r="E15" s="1460"/>
      <c r="F15" s="1460"/>
      <c r="G15" s="1460"/>
      <c r="H15" s="1460"/>
      <c r="I15" s="1460"/>
      <c r="J15" s="1460"/>
      <c r="K15" s="1460"/>
      <c r="L15" s="168"/>
      <c r="M15" s="168"/>
    </row>
  </sheetData>
  <mergeCells count="12">
    <mergeCell ref="A15:K15"/>
    <mergeCell ref="E12:E13"/>
    <mergeCell ref="A3:C3"/>
    <mergeCell ref="A4:A5"/>
    <mergeCell ref="B4:C4"/>
    <mergeCell ref="A7:C7"/>
    <mergeCell ref="A8:C8"/>
    <mergeCell ref="A10:K10"/>
    <mergeCell ref="A12:A13"/>
    <mergeCell ref="B12:B13"/>
    <mergeCell ref="C12:C13"/>
    <mergeCell ref="D12:D13"/>
  </mergeCells>
  <pageMargins left="0.7" right="0.7" top="0.75" bottom="0.75" header="0.3" footer="0.3"/>
  <pageSetup paperSize="9" scale="48"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6F791-F835-431B-84BE-A94125B3B0CB}">
  <sheetPr>
    <tabColor theme="5" tint="0.79998168889431442"/>
  </sheetPr>
  <dimension ref="A1:M14"/>
  <sheetViews>
    <sheetView view="pageBreakPreview" zoomScale="60" zoomScaleNormal="100" workbookViewId="0">
      <selection activeCell="J1" sqref="J1"/>
    </sheetView>
  </sheetViews>
  <sheetFormatPr defaultRowHeight="15"/>
  <cols>
    <col min="1" max="1" width="40.5703125" customWidth="1"/>
    <col min="2" max="2" width="28.5703125" customWidth="1"/>
    <col min="3" max="3" width="38.140625" customWidth="1"/>
  </cols>
  <sheetData>
    <row r="1" spans="1:13">
      <c r="J1" s="168" t="s">
        <v>1004</v>
      </c>
    </row>
    <row r="2" spans="1:13" ht="15.75">
      <c r="B2" s="1066" t="s">
        <v>190</v>
      </c>
    </row>
    <row r="3" spans="1:13">
      <c r="A3" s="1459"/>
      <c r="B3" s="1459"/>
      <c r="C3" s="1459"/>
      <c r="D3" s="987"/>
      <c r="E3" s="168"/>
      <c r="F3" s="168"/>
      <c r="G3" s="168"/>
      <c r="H3" s="168"/>
      <c r="I3" s="168"/>
      <c r="J3" s="168"/>
      <c r="K3" s="168"/>
      <c r="L3" s="168"/>
      <c r="M3" s="168"/>
    </row>
    <row r="4" spans="1:13">
      <c r="A4" s="1462" t="s">
        <v>1</v>
      </c>
      <c r="B4" s="1518" t="s">
        <v>794</v>
      </c>
      <c r="C4" s="1518"/>
      <c r="D4" s="987"/>
      <c r="E4" s="168"/>
      <c r="F4" s="168"/>
      <c r="G4" s="168"/>
      <c r="H4" s="168"/>
      <c r="I4" s="168"/>
      <c r="J4" s="168"/>
      <c r="K4" s="168"/>
      <c r="L4" s="168"/>
      <c r="M4" s="168"/>
    </row>
    <row r="5" spans="1:13">
      <c r="A5" s="1463"/>
      <c r="B5" s="988" t="s">
        <v>765</v>
      </c>
      <c r="C5" s="989" t="s">
        <v>766</v>
      </c>
      <c r="D5" s="990"/>
      <c r="E5" s="168"/>
      <c r="F5" s="168"/>
      <c r="G5" s="168"/>
      <c r="H5" s="168"/>
      <c r="I5" s="168"/>
      <c r="J5" s="168"/>
      <c r="K5" s="168"/>
      <c r="L5" s="168"/>
      <c r="M5" s="168"/>
    </row>
    <row r="6" spans="1:13" ht="38.25" customHeight="1">
      <c r="A6" s="716" t="s">
        <v>190</v>
      </c>
      <c r="B6" s="1001">
        <v>0</v>
      </c>
      <c r="C6" s="992">
        <f>7800*1.21</f>
        <v>9438</v>
      </c>
      <c r="D6" s="990"/>
      <c r="E6" s="168"/>
      <c r="F6" s="168"/>
      <c r="G6" s="168"/>
      <c r="H6" s="168"/>
      <c r="I6" s="168"/>
      <c r="J6" s="168"/>
      <c r="K6" s="168"/>
      <c r="L6" s="168"/>
      <c r="M6" s="168"/>
    </row>
    <row r="7" spans="1:13" ht="21" customHeight="1">
      <c r="A7" s="1460" t="s">
        <v>787</v>
      </c>
      <c r="B7" s="1460"/>
      <c r="C7" s="1460"/>
      <c r="D7" s="990"/>
      <c r="E7" s="168"/>
      <c r="F7" s="168"/>
      <c r="G7" s="168"/>
      <c r="H7" s="168"/>
      <c r="I7" s="168"/>
      <c r="J7" s="168"/>
      <c r="K7" s="168"/>
      <c r="L7" s="168"/>
      <c r="M7" s="168"/>
    </row>
    <row r="8" spans="1:13">
      <c r="A8" s="1466"/>
      <c r="B8" s="1466"/>
      <c r="C8" s="1466"/>
      <c r="D8" s="168"/>
      <c r="E8" s="168"/>
      <c r="F8" s="168"/>
      <c r="G8" s="168"/>
      <c r="H8" s="168"/>
      <c r="I8" s="168"/>
      <c r="J8" s="168"/>
      <c r="K8" s="168"/>
      <c r="L8" s="168"/>
      <c r="M8" s="168"/>
    </row>
    <row r="9" spans="1:13">
      <c r="A9" s="1459"/>
      <c r="B9" s="1459"/>
      <c r="C9" s="1459"/>
      <c r="D9" s="1459"/>
      <c r="E9" s="1459"/>
      <c r="F9" s="1459"/>
      <c r="G9" s="1459"/>
      <c r="H9" s="1459"/>
      <c r="I9" s="1459"/>
      <c r="J9" s="1459"/>
      <c r="K9" s="1459"/>
      <c r="L9" s="168"/>
      <c r="M9" s="168"/>
    </row>
    <row r="10" spans="1:13" ht="63.75">
      <c r="A10" s="993"/>
      <c r="B10" s="994" t="s">
        <v>1</v>
      </c>
      <c r="C10" s="994" t="s">
        <v>2</v>
      </c>
      <c r="D10" s="988" t="s">
        <v>3</v>
      </c>
      <c r="E10" s="988" t="s">
        <v>768</v>
      </c>
      <c r="F10" s="988" t="s">
        <v>769</v>
      </c>
      <c r="G10" s="988" t="s">
        <v>770</v>
      </c>
      <c r="H10" s="988" t="s">
        <v>771</v>
      </c>
      <c r="I10" s="988" t="s">
        <v>772</v>
      </c>
      <c r="J10" s="988" t="s">
        <v>773</v>
      </c>
      <c r="K10" s="988" t="s">
        <v>774</v>
      </c>
      <c r="L10" s="168"/>
      <c r="M10" s="168"/>
    </row>
    <row r="11" spans="1:13" ht="15" customHeight="1">
      <c r="A11" s="1519"/>
      <c r="B11" s="1519" t="s">
        <v>190</v>
      </c>
      <c r="C11" s="1521"/>
      <c r="D11" s="1704">
        <v>100</v>
      </c>
      <c r="E11" s="994"/>
      <c r="F11" s="992">
        <v>1</v>
      </c>
      <c r="G11" s="992"/>
      <c r="H11" s="992">
        <f>F11*G11</f>
        <v>0</v>
      </c>
      <c r="I11" s="992">
        <v>21</v>
      </c>
      <c r="J11" s="992">
        <f>G11*1.21</f>
        <v>0</v>
      </c>
      <c r="K11" s="992">
        <f>F11*J11</f>
        <v>0</v>
      </c>
      <c r="L11" s="168"/>
      <c r="M11" s="168"/>
    </row>
    <row r="12" spans="1:13" ht="45" customHeight="1">
      <c r="A12" s="1520"/>
      <c r="B12" s="1520"/>
      <c r="C12" s="1522"/>
      <c r="D12" s="1705"/>
      <c r="E12" s="994"/>
      <c r="F12" s="992"/>
      <c r="G12" s="992">
        <v>78</v>
      </c>
      <c r="H12" s="992">
        <f>D11*G12</f>
        <v>7800</v>
      </c>
      <c r="I12" s="992">
        <v>0.21</v>
      </c>
      <c r="J12" s="992">
        <v>94.38</v>
      </c>
      <c r="K12" s="992">
        <v>9438</v>
      </c>
      <c r="L12" s="168"/>
      <c r="M12" s="168"/>
    </row>
    <row r="13" spans="1:13">
      <c r="A13" s="502"/>
      <c r="B13" s="502"/>
      <c r="C13" s="502"/>
      <c r="D13" s="502"/>
      <c r="E13" s="502"/>
      <c r="F13" s="502"/>
      <c r="G13" s="502"/>
      <c r="H13" s="998"/>
      <c r="I13" s="502"/>
      <c r="J13" s="998"/>
      <c r="K13" s="992">
        <f>K12</f>
        <v>9438</v>
      </c>
      <c r="L13" s="168"/>
      <c r="M13" s="168"/>
    </row>
    <row r="14" spans="1:13" ht="16.5" customHeight="1">
      <c r="A14" s="1460" t="s">
        <v>787</v>
      </c>
      <c r="B14" s="1460"/>
      <c r="C14" s="1460"/>
      <c r="D14" s="1460"/>
      <c r="E14" s="1460"/>
      <c r="F14" s="1460"/>
      <c r="G14" s="1460"/>
      <c r="H14" s="1460"/>
      <c r="I14" s="1460"/>
      <c r="J14" s="1460"/>
      <c r="K14" s="1460"/>
      <c r="L14" s="168"/>
      <c r="M14" s="168"/>
    </row>
  </sheetData>
  <mergeCells count="11">
    <mergeCell ref="A14:K14"/>
    <mergeCell ref="A3:C3"/>
    <mergeCell ref="A4:A5"/>
    <mergeCell ref="B4:C4"/>
    <mergeCell ref="A7:C7"/>
    <mergeCell ref="A8:C8"/>
    <mergeCell ref="A9:K9"/>
    <mergeCell ref="A11:A12"/>
    <mergeCell ref="B11:B12"/>
    <mergeCell ref="C11:C12"/>
    <mergeCell ref="D11:D12"/>
  </mergeCells>
  <pageMargins left="0.7" right="0.7" top="0.75" bottom="0.75" header="0.3" footer="0.3"/>
  <pageSetup paperSize="9" scale="46"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15B4B-850B-4258-BD36-338B38C0F551}">
  <sheetPr>
    <tabColor theme="5" tint="0.79998168889431442"/>
  </sheetPr>
  <dimension ref="A1:M14"/>
  <sheetViews>
    <sheetView view="pageBreakPreview" zoomScale="60" zoomScaleNormal="100" workbookViewId="0">
      <selection activeCell="J1" sqref="J1"/>
    </sheetView>
  </sheetViews>
  <sheetFormatPr defaultRowHeight="15"/>
  <cols>
    <col min="1" max="1" width="40.5703125" customWidth="1"/>
    <col min="2" max="2" width="28.5703125" customWidth="1"/>
    <col min="3" max="3" width="38.140625" customWidth="1"/>
    <col min="4" max="4" width="12.28515625" customWidth="1"/>
  </cols>
  <sheetData>
    <row r="1" spans="1:13">
      <c r="J1" s="168" t="s">
        <v>1007</v>
      </c>
    </row>
    <row r="2" spans="1:13" ht="15.75">
      <c r="B2" s="1066" t="s">
        <v>194</v>
      </c>
    </row>
    <row r="3" spans="1:13">
      <c r="A3" s="1459"/>
      <c r="B3" s="1459"/>
      <c r="C3" s="1459"/>
      <c r="D3" s="987"/>
      <c r="E3" s="168"/>
      <c r="F3" s="168"/>
      <c r="G3" s="168"/>
      <c r="H3" s="168"/>
      <c r="I3" s="168"/>
      <c r="J3" s="168"/>
      <c r="K3" s="168"/>
      <c r="L3" s="168"/>
      <c r="M3" s="168"/>
    </row>
    <row r="4" spans="1:13">
      <c r="A4" s="1462" t="s">
        <v>1</v>
      </c>
      <c r="B4" s="1518" t="s">
        <v>794</v>
      </c>
      <c r="C4" s="1518"/>
      <c r="D4" s="987"/>
      <c r="E4" s="168"/>
      <c r="F4" s="168"/>
      <c r="G4" s="168"/>
      <c r="H4" s="168"/>
      <c r="I4" s="168"/>
      <c r="J4" s="168"/>
      <c r="K4" s="168"/>
      <c r="L4" s="168"/>
      <c r="M4" s="168"/>
    </row>
    <row r="5" spans="1:13">
      <c r="A5" s="1463"/>
      <c r="B5" s="988" t="s">
        <v>765</v>
      </c>
      <c r="C5" s="989" t="s">
        <v>766</v>
      </c>
      <c r="D5" s="990"/>
      <c r="E5" s="168"/>
      <c r="F5" s="168"/>
      <c r="G5" s="168"/>
      <c r="H5" s="168"/>
      <c r="I5" s="168"/>
      <c r="J5" s="168"/>
      <c r="K5" s="168"/>
      <c r="L5" s="168"/>
      <c r="M5" s="168"/>
    </row>
    <row r="6" spans="1:13" ht="29.25" customHeight="1">
      <c r="A6" s="716" t="s">
        <v>194</v>
      </c>
      <c r="B6" s="1001">
        <v>0</v>
      </c>
      <c r="C6" s="992">
        <f>20000*1.21</f>
        <v>24200</v>
      </c>
      <c r="D6" s="990"/>
      <c r="E6" s="168"/>
      <c r="F6" s="168"/>
      <c r="G6" s="168"/>
      <c r="H6" s="168"/>
      <c r="I6" s="168"/>
      <c r="J6" s="168"/>
      <c r="K6" s="168"/>
      <c r="L6" s="168"/>
      <c r="M6" s="168"/>
    </row>
    <row r="7" spans="1:13" ht="18.75" customHeight="1">
      <c r="A7" s="1460" t="s">
        <v>787</v>
      </c>
      <c r="B7" s="1460"/>
      <c r="C7" s="1460"/>
      <c r="D7" s="990"/>
      <c r="E7" s="168"/>
      <c r="F7" s="168"/>
      <c r="G7" s="168"/>
      <c r="H7" s="168"/>
      <c r="I7" s="168"/>
      <c r="J7" s="168"/>
      <c r="K7" s="168"/>
      <c r="L7" s="168"/>
      <c r="M7" s="168"/>
    </row>
    <row r="8" spans="1:13">
      <c r="A8" s="1466"/>
      <c r="B8" s="1466"/>
      <c r="C8" s="1466"/>
      <c r="D8" s="168"/>
      <c r="E8" s="168"/>
      <c r="F8" s="168"/>
      <c r="G8" s="168"/>
      <c r="H8" s="168"/>
      <c r="I8" s="168"/>
      <c r="J8" s="168"/>
      <c r="K8" s="168"/>
      <c r="L8" s="168"/>
      <c r="M8" s="168"/>
    </row>
    <row r="9" spans="1:13">
      <c r="A9" s="1459"/>
      <c r="B9" s="1459"/>
      <c r="C9" s="1459"/>
      <c r="D9" s="1459"/>
      <c r="E9" s="1459"/>
      <c r="F9" s="1459"/>
      <c r="G9" s="1459"/>
      <c r="H9" s="1459"/>
      <c r="I9" s="1459"/>
      <c r="J9" s="1459"/>
      <c r="K9" s="1459"/>
      <c r="L9" s="168"/>
      <c r="M9" s="168"/>
    </row>
    <row r="10" spans="1:13" ht="63.75">
      <c r="A10" s="993"/>
      <c r="B10" s="994" t="s">
        <v>1</v>
      </c>
      <c r="C10" s="994" t="s">
        <v>2</v>
      </c>
      <c r="D10" s="988" t="s">
        <v>3</v>
      </c>
      <c r="E10" s="988" t="s">
        <v>768</v>
      </c>
      <c r="F10" s="988" t="s">
        <v>769</v>
      </c>
      <c r="G10" s="988" t="s">
        <v>770</v>
      </c>
      <c r="H10" s="988" t="s">
        <v>771</v>
      </c>
      <c r="I10" s="988" t="s">
        <v>772</v>
      </c>
      <c r="J10" s="988" t="s">
        <v>773</v>
      </c>
      <c r="K10" s="988" t="s">
        <v>774</v>
      </c>
      <c r="L10" s="168"/>
      <c r="M10" s="168"/>
    </row>
    <row r="11" spans="1:13" ht="15" customHeight="1">
      <c r="A11" s="1519"/>
      <c r="B11" s="1519" t="s">
        <v>194</v>
      </c>
      <c r="C11" s="1521"/>
      <c r="D11" s="1704">
        <v>200</v>
      </c>
      <c r="E11" s="994"/>
      <c r="F11" s="992">
        <v>1</v>
      </c>
      <c r="G11" s="992"/>
      <c r="H11" s="992">
        <f>F11*G11</f>
        <v>0</v>
      </c>
      <c r="I11" s="992">
        <v>21</v>
      </c>
      <c r="J11" s="992">
        <f>G11*1.21</f>
        <v>0</v>
      </c>
      <c r="K11" s="992">
        <f>F11*J11</f>
        <v>0</v>
      </c>
      <c r="L11" s="168"/>
      <c r="M11" s="168"/>
    </row>
    <row r="12" spans="1:13" ht="22.5" customHeight="1">
      <c r="A12" s="1520"/>
      <c r="B12" s="1520"/>
      <c r="C12" s="1522"/>
      <c r="D12" s="1705"/>
      <c r="E12" s="994"/>
      <c r="F12" s="992"/>
      <c r="G12" s="992">
        <v>100</v>
      </c>
      <c r="H12" s="992">
        <f>D11*G12</f>
        <v>20000</v>
      </c>
      <c r="I12" s="992">
        <v>21</v>
      </c>
      <c r="J12" s="992">
        <v>121</v>
      </c>
      <c r="K12" s="992">
        <v>24200</v>
      </c>
      <c r="L12" s="168"/>
      <c r="M12" s="168"/>
    </row>
    <row r="13" spans="1:13">
      <c r="A13" s="502"/>
      <c r="B13" s="502"/>
      <c r="C13" s="502"/>
      <c r="D13" s="502"/>
      <c r="E13" s="502"/>
      <c r="F13" s="502"/>
      <c r="G13" s="502"/>
      <c r="H13" s="998"/>
      <c r="I13" s="502"/>
      <c r="J13" s="998"/>
      <c r="K13" s="992"/>
      <c r="L13" s="168"/>
      <c r="M13" s="168"/>
    </row>
    <row r="14" spans="1:13" ht="18.75" customHeight="1">
      <c r="A14" s="1460" t="s">
        <v>787</v>
      </c>
      <c r="B14" s="1460"/>
      <c r="C14" s="1460"/>
      <c r="D14" s="1460"/>
      <c r="E14" s="1460"/>
      <c r="F14" s="1460"/>
      <c r="G14" s="1460"/>
      <c r="H14" s="1460"/>
      <c r="I14" s="1460"/>
      <c r="J14" s="1460"/>
      <c r="K14" s="1460"/>
      <c r="L14" s="168"/>
      <c r="M14" s="168"/>
    </row>
  </sheetData>
  <mergeCells count="11">
    <mergeCell ref="A3:C3"/>
    <mergeCell ref="A4:A5"/>
    <mergeCell ref="B4:C4"/>
    <mergeCell ref="A7:C7"/>
    <mergeCell ref="A8:C8"/>
    <mergeCell ref="A9:K9"/>
    <mergeCell ref="A11:A12"/>
    <mergeCell ref="B11:B12"/>
    <mergeCell ref="C11:C12"/>
    <mergeCell ref="A14:K14"/>
    <mergeCell ref="D11:D12"/>
  </mergeCells>
  <pageMargins left="0.7" right="0.7" top="0.75" bottom="0.75" header="0.3" footer="0.3"/>
  <pageSetup paperSize="9" scale="45"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E780F-7695-4AD2-8265-B3C62261F886}">
  <sheetPr>
    <tabColor theme="5" tint="0.79998168889431442"/>
  </sheetPr>
  <dimension ref="A1:M14"/>
  <sheetViews>
    <sheetView view="pageBreakPreview" zoomScale="60" zoomScaleNormal="100" workbookViewId="0">
      <selection activeCell="P26" sqref="P26"/>
    </sheetView>
  </sheetViews>
  <sheetFormatPr defaultRowHeight="12.75"/>
  <cols>
    <col min="1" max="1" width="51.42578125" style="168" customWidth="1"/>
    <col min="2" max="2" width="29.5703125" style="168" customWidth="1"/>
    <col min="3" max="3" width="24.28515625" style="168" customWidth="1"/>
    <col min="4" max="4" width="18.42578125" style="168" customWidth="1"/>
    <col min="5" max="16384" width="9.140625" style="168"/>
  </cols>
  <sheetData>
    <row r="1" spans="1:13">
      <c r="B1" s="986"/>
      <c r="C1" s="986"/>
      <c r="J1" s="168" t="s">
        <v>1007</v>
      </c>
    </row>
    <row r="2" spans="1:13" ht="35.25" customHeight="1">
      <c r="A2" s="1459" t="s">
        <v>198</v>
      </c>
      <c r="B2" s="1459"/>
      <c r="C2" s="1459"/>
      <c r="D2" s="987"/>
    </row>
    <row r="3" spans="1:13">
      <c r="A3" s="1462" t="s">
        <v>1</v>
      </c>
      <c r="B3" s="1518" t="s">
        <v>794</v>
      </c>
      <c r="C3" s="1518"/>
      <c r="D3" s="987"/>
    </row>
    <row r="4" spans="1:13">
      <c r="A4" s="1463"/>
      <c r="B4" s="988" t="s">
        <v>765</v>
      </c>
      <c r="C4" s="989" t="s">
        <v>766</v>
      </c>
      <c r="D4" s="990"/>
    </row>
    <row r="5" spans="1:13" ht="38.25">
      <c r="A5" s="991" t="s">
        <v>791</v>
      </c>
      <c r="B5" s="992">
        <v>0</v>
      </c>
      <c r="C5" s="503">
        <f>15000*1.21</f>
        <v>18150</v>
      </c>
      <c r="D5" s="990"/>
    </row>
    <row r="6" spans="1:13" ht="59.25" customHeight="1">
      <c r="A6" s="1460" t="s">
        <v>767</v>
      </c>
      <c r="B6" s="1460"/>
      <c r="C6" s="1460"/>
      <c r="D6" s="990"/>
    </row>
    <row r="7" spans="1:13">
      <c r="A7" s="1466"/>
      <c r="B7" s="1466"/>
      <c r="C7" s="1466"/>
    </row>
    <row r="10" spans="1:13">
      <c r="A10" s="1459" t="s">
        <v>198</v>
      </c>
      <c r="B10" s="1459"/>
      <c r="C10" s="1459"/>
      <c r="D10" s="1459"/>
      <c r="E10" s="1459"/>
      <c r="F10" s="1459"/>
      <c r="G10" s="1459"/>
      <c r="H10" s="1459"/>
      <c r="I10" s="1459"/>
      <c r="J10" s="1459"/>
      <c r="K10" s="1459"/>
    </row>
    <row r="11" spans="1:13" ht="63.75">
      <c r="A11" s="993"/>
      <c r="B11" s="994" t="s">
        <v>1</v>
      </c>
      <c r="C11" s="994" t="s">
        <v>2</v>
      </c>
      <c r="D11" s="988" t="s">
        <v>3</v>
      </c>
      <c r="E11" s="988" t="s">
        <v>768</v>
      </c>
      <c r="F11" s="988" t="s">
        <v>769</v>
      </c>
      <c r="G11" s="988" t="s">
        <v>770</v>
      </c>
      <c r="H11" s="988" t="s">
        <v>771</v>
      </c>
      <c r="I11" s="988" t="s">
        <v>772</v>
      </c>
      <c r="J11" s="988" t="s">
        <v>773</v>
      </c>
      <c r="K11" s="988" t="s">
        <v>774</v>
      </c>
    </row>
    <row r="12" spans="1:13" ht="51">
      <c r="A12" s="995" t="s">
        <v>792</v>
      </c>
      <c r="B12" s="991" t="s">
        <v>791</v>
      </c>
      <c r="C12" s="996"/>
      <c r="D12" s="996"/>
      <c r="E12" s="994" t="s">
        <v>792</v>
      </c>
      <c r="F12" s="992">
        <v>1</v>
      </c>
      <c r="G12" s="992">
        <v>15000</v>
      </c>
      <c r="H12" s="992">
        <f>F12*G12</f>
        <v>15000</v>
      </c>
      <c r="I12" s="992">
        <v>21</v>
      </c>
      <c r="J12" s="992">
        <f>G12*1.21</f>
        <v>18150</v>
      </c>
      <c r="K12" s="992">
        <f>F12*J12</f>
        <v>18150</v>
      </c>
      <c r="M12" s="997"/>
    </row>
    <row r="13" spans="1:13">
      <c r="A13" s="502"/>
      <c r="B13" s="502"/>
      <c r="C13" s="502"/>
      <c r="D13" s="502"/>
      <c r="E13" s="502"/>
      <c r="F13" s="502"/>
      <c r="G13" s="502"/>
      <c r="H13" s="998">
        <f>SUM(H12:H12)</f>
        <v>15000</v>
      </c>
      <c r="I13" s="502"/>
      <c r="J13" s="998"/>
      <c r="K13" s="992">
        <f>SUM(K12:K12)</f>
        <v>18150</v>
      </c>
    </row>
    <row r="14" spans="1:13" ht="36.75" customHeight="1">
      <c r="A14" s="1460" t="s">
        <v>767</v>
      </c>
      <c r="B14" s="1460"/>
      <c r="C14" s="1460"/>
      <c r="D14" s="1460"/>
      <c r="E14" s="1460"/>
      <c r="F14" s="1460"/>
      <c r="G14" s="1460"/>
      <c r="H14" s="1460"/>
      <c r="I14" s="1460"/>
      <c r="J14" s="1460"/>
      <c r="K14" s="1460"/>
    </row>
  </sheetData>
  <mergeCells count="7">
    <mergeCell ref="A10:K10"/>
    <mergeCell ref="A14:K14"/>
    <mergeCell ref="A2:C2"/>
    <mergeCell ref="A3:A4"/>
    <mergeCell ref="B3:C3"/>
    <mergeCell ref="A6:C6"/>
    <mergeCell ref="A7:C7"/>
  </mergeCells>
  <pageMargins left="0.7" right="0.7" top="0.75" bottom="0.75" header="0.3" footer="0.3"/>
  <pageSetup paperSize="9" scale="44"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12</vt:i4>
      </vt:variant>
    </vt:vector>
  </HeadingPairs>
  <TitlesOfParts>
    <vt:vector size="47" baseType="lpstr">
      <vt:lpstr>Kopsavilkums</vt:lpstr>
      <vt:lpstr>1.1.2</vt:lpstr>
      <vt:lpstr>1.1.4.</vt:lpstr>
      <vt:lpstr>2.1.2.1.</vt:lpstr>
      <vt:lpstr>2.1.2.2</vt:lpstr>
      <vt:lpstr>2.1.4.1.</vt:lpstr>
      <vt:lpstr>2.1.4.2.</vt:lpstr>
      <vt:lpstr>2.1.5.1.</vt:lpstr>
      <vt:lpstr>2.1.5.2</vt:lpstr>
      <vt:lpstr>2.1.6.</vt:lpstr>
      <vt:lpstr>2.1.7.</vt:lpstr>
      <vt:lpstr>2.1.8.</vt:lpstr>
      <vt:lpstr>2.2.1.</vt:lpstr>
      <vt:lpstr>2.2.2</vt:lpstr>
      <vt:lpstr>2.2.3.1</vt:lpstr>
      <vt:lpstr>2.2.3.2.</vt:lpstr>
      <vt:lpstr>2.2.3.3</vt:lpstr>
      <vt:lpstr>2.2.4.1.</vt:lpstr>
      <vt:lpstr>2.2.4.2</vt:lpstr>
      <vt:lpstr>2.2.5.</vt:lpstr>
      <vt:lpstr>2.2.6.</vt:lpstr>
      <vt:lpstr>2.3.1.1.-2.3.1.3.,2.3.2.-2.3.5.</vt:lpstr>
      <vt:lpstr>2.4.1</vt:lpstr>
      <vt:lpstr>2.4.3.1.-2.4.3.2.</vt:lpstr>
      <vt:lpstr>2.4.4.</vt:lpstr>
      <vt:lpstr>2.4.5.1. </vt:lpstr>
      <vt:lpstr>2.4.5.2. </vt:lpstr>
      <vt:lpstr>2.4.6</vt:lpstr>
      <vt:lpstr>2.4.7.</vt:lpstr>
      <vt:lpstr>2.6.1</vt:lpstr>
      <vt:lpstr>3.1.1.1.</vt:lpstr>
      <vt:lpstr>3.1.2.</vt:lpstr>
      <vt:lpstr>3.1.3.</vt:lpstr>
      <vt:lpstr>3.1.4</vt:lpstr>
      <vt:lpstr>3.1.5</vt:lpstr>
      <vt:lpstr>_Hlk199328070</vt:lpstr>
      <vt:lpstr>_Hlk200019317</vt:lpstr>
      <vt:lpstr>_Hlk200028924</vt:lpstr>
      <vt:lpstr>_msoanchor_1</vt:lpstr>
      <vt:lpstr>'2.1.4.2.'!Print_Area</vt:lpstr>
      <vt:lpstr>'2.1.7.'!Print_Area</vt:lpstr>
      <vt:lpstr>'2.2.1.'!Print_Area</vt:lpstr>
      <vt:lpstr>'2.3.1.1.-2.3.1.3.,2.3.2.-2.3.5.'!Print_Area</vt:lpstr>
      <vt:lpstr>'2.4.3.1.-2.4.3.2.'!Print_Area</vt:lpstr>
      <vt:lpstr>'2.4.4.'!Print_Area</vt:lpstr>
      <vt:lpstr>'2.4.5.1. '!Print_Area</vt:lpstr>
      <vt:lpstr>'2.4.5.2.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Kitija Krastiņa</dc:creator>
  <cp:keywords/>
  <dc:description/>
  <cp:lastModifiedBy>Lāsma Zandberga</cp:lastModifiedBy>
  <cp:revision/>
  <dcterms:created xsi:type="dcterms:W3CDTF">2025-02-17T12:40:18Z</dcterms:created>
  <dcterms:modified xsi:type="dcterms:W3CDTF">2025-07-21T07:38:16Z</dcterms:modified>
  <cp:category/>
  <cp:contentStatus/>
</cp:coreProperties>
</file>