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ija.timofejeva\OneDrive - VARAM\TA\IZ par OIK_2024\04.10.2024\"/>
    </mc:Choice>
  </mc:AlternateContent>
  <xr:revisionPtr revIDLastSave="0" documentId="13_ncr:1_{9D19627C-EBD3-496D-A00F-1703940138D7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1.pielikums_aprēķins" sheetId="11" r:id="rId1"/>
    <sheet name="2. pielikums_AST aprēķini" sheetId="9" r:id="rId2"/>
    <sheet name="3. pielikums_štata vietas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1" i="11" l="1"/>
  <c r="R8" i="11"/>
  <c r="V8" i="11" l="1"/>
  <c r="U8" i="11"/>
  <c r="T8" i="11"/>
  <c r="V11" i="11"/>
  <c r="U11" i="11"/>
  <c r="T11" i="11"/>
  <c r="S45" i="11"/>
  <c r="S8" i="11"/>
  <c r="R45" i="11" l="1"/>
  <c r="J24" i="9"/>
  <c r="F25" i="8"/>
  <c r="G25" i="8" s="1"/>
  <c r="F24" i="8"/>
  <c r="G24" i="8" s="1"/>
  <c r="G23" i="8"/>
  <c r="F23" i="8"/>
  <c r="F22" i="8"/>
  <c r="G22" i="8" s="1"/>
  <c r="F21" i="8"/>
  <c r="G21" i="8" s="1"/>
  <c r="F20" i="8"/>
  <c r="G20" i="8" s="1"/>
  <c r="F19" i="8"/>
  <c r="G19" i="8" s="1"/>
  <c r="F18" i="8"/>
  <c r="G18" i="8" s="1"/>
  <c r="G17" i="8"/>
  <c r="H17" i="8" s="1"/>
  <c r="F17" i="8"/>
  <c r="F16" i="8"/>
  <c r="G16" i="8" s="1"/>
  <c r="J15" i="8"/>
  <c r="I15" i="8"/>
  <c r="G15" i="8"/>
  <c r="H15" i="8" s="1"/>
  <c r="F15" i="8"/>
  <c r="F14" i="8"/>
  <c r="G14" i="8" s="1"/>
  <c r="F13" i="8"/>
  <c r="G13" i="8" s="1"/>
  <c r="F12" i="8"/>
  <c r="G12" i="8" s="1"/>
  <c r="G11" i="8"/>
  <c r="F11" i="8"/>
  <c r="F10" i="8"/>
  <c r="G10" i="8" s="1"/>
  <c r="F9" i="8"/>
  <c r="G9" i="8" s="1"/>
  <c r="F8" i="8"/>
  <c r="G8" i="8" s="1"/>
  <c r="F7" i="8"/>
  <c r="G7" i="8" s="1"/>
  <c r="F6" i="8"/>
  <c r="G6" i="8" s="1"/>
  <c r="G5" i="8"/>
  <c r="F5" i="8"/>
  <c r="J22" i="8" l="1"/>
  <c r="H22" i="8"/>
  <c r="I22" i="8"/>
  <c r="I8" i="8"/>
  <c r="K8" i="8" s="1"/>
  <c r="H8" i="8"/>
  <c r="J8" i="8"/>
  <c r="J14" i="8"/>
  <c r="K14" i="8" s="1"/>
  <c r="L14" i="8" s="1"/>
  <c r="I14" i="8"/>
  <c r="H14" i="8"/>
  <c r="J9" i="8"/>
  <c r="I9" i="8"/>
  <c r="H9" i="8"/>
  <c r="K15" i="8"/>
  <c r="L15" i="8" s="1"/>
  <c r="J10" i="8"/>
  <c r="H10" i="8"/>
  <c r="I10" i="8"/>
  <c r="J19" i="8"/>
  <c r="I19" i="8"/>
  <c r="H19" i="8"/>
  <c r="K19" i="8" s="1"/>
  <c r="L19" i="8" s="1"/>
  <c r="I20" i="8"/>
  <c r="J20" i="8"/>
  <c r="H20" i="8"/>
  <c r="K20" i="8" s="1"/>
  <c r="J13" i="8"/>
  <c r="I13" i="8"/>
  <c r="H13" i="8"/>
  <c r="J21" i="8"/>
  <c r="I21" i="8"/>
  <c r="K21" i="8" s="1"/>
  <c r="H21" i="8"/>
  <c r="J6" i="8"/>
  <c r="H6" i="8"/>
  <c r="K6" i="8" s="1"/>
  <c r="I6" i="8"/>
  <c r="J24" i="8"/>
  <c r="I24" i="8"/>
  <c r="H24" i="8"/>
  <c r="J16" i="8"/>
  <c r="I16" i="8"/>
  <c r="H16" i="8"/>
  <c r="K18" i="8"/>
  <c r="L18" i="8" s="1"/>
  <c r="J18" i="8"/>
  <c r="I18" i="8"/>
  <c r="H18" i="8"/>
  <c r="K12" i="8"/>
  <c r="L12" i="8" s="1"/>
  <c r="J12" i="8"/>
  <c r="H12" i="8"/>
  <c r="I12" i="8"/>
  <c r="J7" i="8"/>
  <c r="I7" i="8"/>
  <c r="K7" i="8" s="1"/>
  <c r="H7" i="8"/>
  <c r="J25" i="8"/>
  <c r="I25" i="8"/>
  <c r="H25" i="8"/>
  <c r="L25" i="8" s="1"/>
  <c r="K25" i="8"/>
  <c r="F26" i="8"/>
  <c r="I5" i="8"/>
  <c r="G26" i="8"/>
  <c r="J5" i="8"/>
  <c r="K5" i="8"/>
  <c r="H5" i="8"/>
  <c r="J17" i="8"/>
  <c r="H23" i="8"/>
  <c r="K23" i="8" s="1"/>
  <c r="I17" i="8"/>
  <c r="K17" i="8" s="1"/>
  <c r="I11" i="8"/>
  <c r="I23" i="8"/>
  <c r="J11" i="8"/>
  <c r="J23" i="8"/>
  <c r="H11" i="8"/>
  <c r="K11" i="8" s="1"/>
  <c r="L7" i="8" l="1"/>
  <c r="L6" i="8"/>
  <c r="L8" i="8"/>
  <c r="L21" i="8"/>
  <c r="L13" i="8"/>
  <c r="L23" i="8"/>
  <c r="L17" i="8"/>
  <c r="K24" i="8"/>
  <c r="L24" i="8" s="1"/>
  <c r="H26" i="8"/>
  <c r="K13" i="8"/>
  <c r="J26" i="8"/>
  <c r="L11" i="8"/>
  <c r="K9" i="8"/>
  <c r="K26" i="8" s="1"/>
  <c r="K22" i="8"/>
  <c r="L22" i="8" s="1"/>
  <c r="I26" i="8"/>
  <c r="L20" i="8"/>
  <c r="K10" i="8"/>
  <c r="L10" i="8" s="1"/>
  <c r="K16" i="8"/>
  <c r="L16" i="8" s="1"/>
  <c r="L5" i="8"/>
  <c r="L9" i="8" l="1"/>
  <c r="L26" i="8" s="1"/>
  <c r="F31" i="8" s="1"/>
  <c r="F32" i="8" s="1"/>
  <c r="G37" i="8" s="1"/>
  <c r="D35" i="9" l="1"/>
  <c r="E35" i="9"/>
  <c r="F35" i="9"/>
  <c r="G35" i="9"/>
  <c r="H35" i="9"/>
  <c r="C35" i="9"/>
  <c r="V3" i="11"/>
  <c r="U3" i="11"/>
  <c r="V41" i="11"/>
  <c r="V39" i="11"/>
  <c r="V36" i="11" s="1"/>
  <c r="R6" i="11" l="1"/>
  <c r="T13" i="11"/>
  <c r="T38" i="11"/>
  <c r="R38" i="11"/>
  <c r="R39" i="11" s="1"/>
  <c r="R36" i="11" s="1"/>
  <c r="R13" i="11"/>
  <c r="S41" i="11"/>
  <c r="S39" i="11"/>
  <c r="S36" i="11" s="1"/>
  <c r="Q41" i="11"/>
  <c r="Q42" i="11"/>
  <c r="Q39" i="11"/>
  <c r="Q36" i="11" s="1"/>
  <c r="Q11" i="11"/>
  <c r="R41" i="11" l="1"/>
  <c r="Q43" i="11"/>
  <c r="P8" i="11" l="1"/>
  <c r="S11" i="11" l="1"/>
  <c r="S2" i="11"/>
  <c r="T30" i="11" l="1"/>
  <c r="U30" i="11" s="1"/>
  <c r="T29" i="11"/>
  <c r="U29" i="11" s="1"/>
  <c r="R18" i="11"/>
  <c r="T18" i="11" l="1"/>
  <c r="F34" i="9"/>
  <c r="C34" i="9"/>
  <c r="D34" i="9" s="1"/>
  <c r="F33" i="9"/>
  <c r="C33" i="9"/>
  <c r="F32" i="9"/>
  <c r="C32" i="9"/>
  <c r="D32" i="9" s="1"/>
  <c r="F31" i="9"/>
  <c r="C31" i="9"/>
  <c r="F30" i="9"/>
  <c r="C30" i="9"/>
  <c r="D30" i="9" s="1"/>
  <c r="F29" i="9"/>
  <c r="C29" i="9"/>
  <c r="F28" i="9"/>
  <c r="C28" i="9"/>
  <c r="D28" i="9" s="1"/>
  <c r="F27" i="9"/>
  <c r="C27" i="9"/>
  <c r="F26" i="9"/>
  <c r="C26" i="9"/>
  <c r="D26" i="9" s="1"/>
  <c r="F25" i="9"/>
  <c r="C25" i="9"/>
  <c r="F24" i="9"/>
  <c r="C24" i="9"/>
  <c r="F23" i="9"/>
  <c r="C23" i="9"/>
  <c r="F21" i="9"/>
  <c r="C21" i="9"/>
  <c r="F20" i="9"/>
  <c r="C20" i="9"/>
  <c r="D20" i="9" s="1"/>
  <c r="E20" i="9" s="1"/>
  <c r="F19" i="9"/>
  <c r="G19" i="9" s="1"/>
  <c r="C19" i="9"/>
  <c r="F18" i="9"/>
  <c r="C18" i="9"/>
  <c r="D18" i="9" s="1"/>
  <c r="E18" i="9" s="1"/>
  <c r="F17" i="9"/>
  <c r="G17" i="9" s="1"/>
  <c r="C17" i="9"/>
  <c r="D17" i="9" s="1"/>
  <c r="F16" i="9"/>
  <c r="G16" i="9" s="1"/>
  <c r="C16" i="9"/>
  <c r="D16" i="9" s="1"/>
  <c r="E16" i="9" s="1"/>
  <c r="C15" i="9"/>
  <c r="D15" i="9" s="1"/>
  <c r="C14" i="9"/>
  <c r="C13" i="9"/>
  <c r="D13" i="9" s="1"/>
  <c r="C12" i="9"/>
  <c r="D12" i="9" s="1"/>
  <c r="E12" i="9" s="1"/>
  <c r="U18" i="11" l="1"/>
  <c r="E15" i="9"/>
  <c r="H19" i="9"/>
  <c r="G20" i="9"/>
  <c r="H20" i="9" s="1"/>
  <c r="H17" i="9"/>
  <c r="C22" i="9"/>
  <c r="D22" i="9" s="1"/>
  <c r="E22" i="9" s="1"/>
  <c r="G21" i="9"/>
  <c r="H21" i="9" s="1"/>
  <c r="D24" i="9"/>
  <c r="E24" i="9" s="1"/>
  <c r="F22" i="9"/>
  <c r="E26" i="9"/>
  <c r="E28" i="9"/>
  <c r="E30" i="9"/>
  <c r="E32" i="9"/>
  <c r="E34" i="9"/>
  <c r="G18" i="9"/>
  <c r="H18" i="9" s="1"/>
  <c r="E13" i="9"/>
  <c r="H16" i="9"/>
  <c r="G24" i="9"/>
  <c r="H24" i="9" s="1"/>
  <c r="G26" i="9"/>
  <c r="H26" i="9" s="1"/>
  <c r="G28" i="9"/>
  <c r="H28" i="9" s="1"/>
  <c r="G30" i="9"/>
  <c r="H30" i="9" s="1"/>
  <c r="G32" i="9"/>
  <c r="H32" i="9" s="1"/>
  <c r="G34" i="9"/>
  <c r="H34" i="9" s="1"/>
  <c r="D21" i="9"/>
  <c r="E21" i="9" s="1"/>
  <c r="D14" i="9"/>
  <c r="E14" i="9" s="1"/>
  <c r="D19" i="9"/>
  <c r="E19" i="9" s="1"/>
  <c r="E17" i="9"/>
  <c r="D23" i="9"/>
  <c r="E23" i="9" s="1"/>
  <c r="D25" i="9"/>
  <c r="E25" i="9" s="1"/>
  <c r="D27" i="9"/>
  <c r="E27" i="9" s="1"/>
  <c r="D29" i="9"/>
  <c r="E29" i="9" s="1"/>
  <c r="D31" i="9"/>
  <c r="E31" i="9" s="1"/>
  <c r="D33" i="9"/>
  <c r="E33" i="9" s="1"/>
  <c r="G23" i="9"/>
  <c r="H23" i="9" s="1"/>
  <c r="G25" i="9"/>
  <c r="H25" i="9" s="1"/>
  <c r="G27" i="9"/>
  <c r="H27" i="9" s="1"/>
  <c r="G29" i="9"/>
  <c r="H29" i="9" s="1"/>
  <c r="G31" i="9"/>
  <c r="H31" i="9" s="1"/>
  <c r="G33" i="9"/>
  <c r="H33" i="9" s="1"/>
  <c r="C36" i="9" l="1"/>
  <c r="E36" i="9"/>
  <c r="D36" i="9"/>
  <c r="F36" i="9"/>
  <c r="G22" i="9"/>
  <c r="G36" i="9" s="1"/>
  <c r="H22" i="9" l="1"/>
  <c r="H36" i="9"/>
  <c r="P41" i="11"/>
  <c r="P39" i="11"/>
  <c r="P36" i="11" s="1"/>
  <c r="P11" i="11"/>
  <c r="R42" i="11"/>
  <c r="L42" i="11"/>
  <c r="U41" i="11"/>
  <c r="T41" i="11"/>
  <c r="O41" i="11"/>
  <c r="N41" i="11"/>
  <c r="M41" i="11"/>
  <c r="L41" i="11"/>
  <c r="K41" i="11"/>
  <c r="J41" i="11"/>
  <c r="I41" i="11"/>
  <c r="H41" i="11"/>
  <c r="G41" i="11"/>
  <c r="F41" i="11"/>
  <c r="E41" i="11"/>
  <c r="D41" i="11"/>
  <c r="U39" i="11"/>
  <c r="U36" i="11" s="1"/>
  <c r="T39" i="11"/>
  <c r="T36" i="11" s="1"/>
  <c r="O39" i="11"/>
  <c r="O36" i="11" s="1"/>
  <c r="N39" i="11"/>
  <c r="N36" i="11" s="1"/>
  <c r="M39" i="11"/>
  <c r="M36" i="11" s="1"/>
  <c r="L39" i="11"/>
  <c r="L36" i="11" s="1"/>
  <c r="K39" i="11"/>
  <c r="K36" i="11" s="1"/>
  <c r="J39" i="11"/>
  <c r="J36" i="11" s="1"/>
  <c r="I39" i="11"/>
  <c r="I36" i="11" s="1"/>
  <c r="H39" i="11"/>
  <c r="G39" i="11"/>
  <c r="G36" i="11" s="1"/>
  <c r="G43" i="11" s="1"/>
  <c r="F39" i="11"/>
  <c r="F36" i="11" s="1"/>
  <c r="F43" i="11" s="1"/>
  <c r="E39" i="11"/>
  <c r="E36" i="11" s="1"/>
  <c r="E43" i="11" s="1"/>
  <c r="D39" i="11"/>
  <c r="D36" i="11" s="1"/>
  <c r="D43" i="11" s="1"/>
  <c r="H35" i="11"/>
  <c r="H18" i="11"/>
  <c r="H11" i="11" s="1"/>
  <c r="O11" i="11"/>
  <c r="N11" i="11"/>
  <c r="M11" i="11"/>
  <c r="L11" i="11"/>
  <c r="J11" i="11"/>
  <c r="I11" i="11"/>
  <c r="G11" i="11"/>
  <c r="F11" i="11"/>
  <c r="E11" i="11"/>
  <c r="D11" i="11"/>
  <c r="O8" i="11"/>
  <c r="J8" i="11"/>
  <c r="I8" i="11"/>
  <c r="G8" i="11"/>
  <c r="F8" i="11"/>
  <c r="E8" i="11"/>
  <c r="D8" i="11"/>
  <c r="N7" i="11"/>
  <c r="Q7" i="11" s="1"/>
  <c r="L7" i="11"/>
  <c r="L8" i="11" s="1"/>
  <c r="M6" i="11"/>
  <c r="K6" i="11"/>
  <c r="H6" i="11"/>
  <c r="H8" i="11" s="1"/>
  <c r="I43" i="11" l="1"/>
  <c r="T42" i="11"/>
  <c r="U42" i="11" s="1"/>
  <c r="V42" i="11" s="1"/>
  <c r="V43" i="11" s="1"/>
  <c r="V45" i="11" s="1"/>
  <c r="V46" i="11" s="1"/>
  <c r="S42" i="11"/>
  <c r="S43" i="11" s="1"/>
  <c r="H36" i="11"/>
  <c r="H43" i="11" s="1"/>
  <c r="O43" i="11"/>
  <c r="O45" i="11" s="1"/>
  <c r="I58" i="11" s="1"/>
  <c r="R43" i="11"/>
  <c r="F45" i="11"/>
  <c r="F55" i="11" s="1"/>
  <c r="N6" i="11"/>
  <c r="T43" i="11"/>
  <c r="T45" i="11" s="1"/>
  <c r="P43" i="11"/>
  <c r="P45" i="11" s="1"/>
  <c r="N43" i="11"/>
  <c r="N45" i="11" s="1"/>
  <c r="U43" i="11"/>
  <c r="U45" i="11" s="1"/>
  <c r="U46" i="11" s="1"/>
  <c r="G45" i="11"/>
  <c r="G55" i="11" s="1"/>
  <c r="Q45" i="11"/>
  <c r="I45" i="11"/>
  <c r="J43" i="11"/>
  <c r="J45" i="11" s="1"/>
  <c r="J58" i="11" s="1"/>
  <c r="K43" i="11"/>
  <c r="K45" i="11" s="1"/>
  <c r="E45" i="11"/>
  <c r="E55" i="11" s="1"/>
  <c r="L43" i="11"/>
  <c r="L45" i="11" s="1"/>
  <c r="M43" i="11"/>
  <c r="M45" i="11" s="1"/>
  <c r="H45" i="11"/>
  <c r="D45" i="11"/>
  <c r="D55" i="11" s="1"/>
  <c r="Q6" i="11"/>
  <c r="G56" i="11" l="1"/>
  <c r="J59" i="11"/>
  <c r="E56" i="11"/>
  <c r="C56" i="11" s="1"/>
</calcChain>
</file>

<file path=xl/sharedStrings.xml><?xml version="1.0" encoding="utf-8"?>
<sst xmlns="http://schemas.openxmlformats.org/spreadsheetml/2006/main" count="192" uniqueCount="156">
  <si>
    <t>uz VTBIL 2022-2024 atjaunotā prognoze</t>
  </si>
  <si>
    <t>saskaņā ar 2021 informatīvo ziņojumu</t>
  </si>
  <si>
    <t>VTBIL 2022-2024</t>
  </si>
  <si>
    <t>saskaņā ar 2022.gada IZ</t>
  </si>
  <si>
    <t>saskaņā ar 2021. gada konceptuālo ziņojumu</t>
  </si>
  <si>
    <t>saskaņā ar 2022. gada konceptuālo ziņojumu</t>
  </si>
  <si>
    <t>2023. gada IZ</t>
  </si>
  <si>
    <t>saskaņā ar 2023. gada konceptuālo ziņojumu</t>
  </si>
  <si>
    <t xml:space="preserve">faktiskā situācija 2024. gadā </t>
  </si>
  <si>
    <t>saskaņā ar 2024. gada informatīvo ziņojumu</t>
  </si>
  <si>
    <t>AS "Augstsprieguma tīkls"******</t>
  </si>
  <si>
    <t>Augstsprieguma tīkls kopējās dividendes</t>
  </si>
  <si>
    <t>Augstsprieguma tīkls dividenžu daļa, kas novirzāma valsts budžeta kopējām vajadzībām</t>
  </si>
  <si>
    <t xml:space="preserve">Augstsprieguma tīkls dividendes, kas novirzāma ar enerģētiku saistītiem pasākumiem </t>
  </si>
  <si>
    <t>AS "Latvenergo"</t>
  </si>
  <si>
    <t>Latvenergo kopējās dividendes</t>
  </si>
  <si>
    <t>(1)</t>
  </si>
  <si>
    <t>Latvenergo dividenžu daļa, kas novirzāma valsts budžeta kopējām vajadzībām</t>
  </si>
  <si>
    <t>(2)</t>
  </si>
  <si>
    <t xml:space="preserve">Latvenergo dividenžu daļa, kas novirzāma ar enerģētiku saistītiem pasākumiem </t>
  </si>
  <si>
    <t>(3)=(1)-(2)</t>
  </si>
  <si>
    <t>Latvenergo dividenžu daļas, kas novirzāma ar enerģētiku nesaistītiem pasākumiem</t>
  </si>
  <si>
    <t>Latvenergo dividenžu daļa, kas novirzāma izdevumiem saskaņā ar Ministru kabineta 15.08.2023. sēdes protokola Nr. 40, 43. §</t>
  </si>
  <si>
    <t>Klimata un enerģētikas ministrijas / Ekonomikas ministrijas budžeta programmas</t>
  </si>
  <si>
    <t>(4)=Σ(4.i)</t>
  </si>
  <si>
    <t>Iemaksas starptautiskajās organizācijās - 02.00.00, Klimata un enerģētikas ministrija</t>
  </si>
  <si>
    <t>Elektroenerģijas lietotāju atbalsts*  - 03.00.00, Klimata un enerģētikas ministrija</t>
  </si>
  <si>
    <t>(4.1)</t>
  </si>
  <si>
    <t>Pētniecības īstenošana, t.sk. administrēšanas vajadzībām - 97.00.00</t>
  </si>
  <si>
    <t>(4.2)</t>
  </si>
  <si>
    <t>enerģētikas un klimata politikas izstrādei pasākumu izpētei - 29.05.00</t>
  </si>
  <si>
    <t>(4.3)</t>
  </si>
  <si>
    <t>Finansējums elektroenerģijas sadales sistēmas operatoram** - 03.00.00, Klimata un enerģētikas ministrija</t>
  </si>
  <si>
    <t>Finansējums elektroenerģijas pārvades sistēmas operatoram*** - 03.00.00, Klimata un enerģētikas ministrija</t>
  </si>
  <si>
    <t>Aizsargāto lietotāju atbalsts**** - 03.00.00, Klimata un enerģētikas ministrija</t>
  </si>
  <si>
    <t>(4.4)</t>
  </si>
  <si>
    <t>Klimatneitralitātes mērķu sasniegšana - 97.00.00, Klimata un enerģētikas ministrija</t>
  </si>
  <si>
    <t>Dalība Starptautiskajā Enerģētikas aģentūrā - 97.00.00, Klimata un enerģētikas ministrija</t>
  </si>
  <si>
    <t>Statistiskās informācijas nodrošināšana - 24.00.00, Ekonomikas ministrija</t>
  </si>
  <si>
    <t>Elektroenerģijas lietotāju atbalsts - 29.02.00, Ekonomikas ministrija</t>
  </si>
  <si>
    <t>Energoietilpīgo uzņēmumu atbalsts - 29.02.00</t>
  </si>
  <si>
    <t>Energoefektivitātes politikas ieviešana -29.04.00</t>
  </si>
  <si>
    <t>(4.5)</t>
  </si>
  <si>
    <t>BVKB enerģētikas politikas administrēšanai - 29.06.00, Ekonomikas ministrija</t>
  </si>
  <si>
    <t>(new)</t>
  </si>
  <si>
    <t>Latvijas un Igaunijas atkrastes vēja enerģijas kopprojekta “Elwind” attīstībai - 29.08.00, Ekonomikas ministrija</t>
  </si>
  <si>
    <t>Klimatneitralitātes mērķu sasniegšana - 97.00.00, Ekonomikas ministrija</t>
  </si>
  <si>
    <t>Dalība Starptautiskajā Enerģētikas aģentūrā - 97.00.00, Ekonomikas ministrija</t>
  </si>
  <si>
    <t>Energoresursu izmaksu kompensācijas informācijas sistēmas izveide un uzturēšana, t.sk. administrēšanas izdevumiem - 29.06.00, Ekonomikas ministrija</t>
  </si>
  <si>
    <t>Iestāšanās Starptautiskajā Enerģētikas aģentūrā (attiecināma uz Klimata un enerģētikas ministriju un Ekonomikas ministriju) - 97.00.00</t>
  </si>
  <si>
    <t>Klimatneitralitātes mērķu sasniegšanas aktivitātēm (attiecināma uz Klimata un enerģētikas ministriju un Ekonomikas ministriju) - 97.00.00</t>
  </si>
  <si>
    <t>Finansējums ar enerģētiku nesaistītiem pasākumiem Ekonomikas ministrijai</t>
  </si>
  <si>
    <t>Finansējums EM neatliekamo pasākumu īstenošanai - 74.r, 09.00.00; 12.r,35.00.00;26.02.00;97.00.00;28.00.00;24.00.00;26.01.00./</t>
  </si>
  <si>
    <t>(4.6)</t>
  </si>
  <si>
    <t>Finansējums ar enerģētiku nesaistītiem pasākumiem Zemkopības ministrijai</t>
  </si>
  <si>
    <t>Publiskais tirgotājs</t>
  </si>
  <si>
    <t>OIK ieņēmumi no elektroenerģijas patērētājiem, milj. eiro *****</t>
  </si>
  <si>
    <t>(5)</t>
  </si>
  <si>
    <t>OIK ieņēmumu pārsniegums pār OI izmaksām,  milj. eiro</t>
  </si>
  <si>
    <t>(6)=(5)-(9)</t>
  </si>
  <si>
    <t>Elektroenerģijas realizācijas neto ieņēmumi Nord Pool elektroenerģijas biržā, milj. eiro</t>
  </si>
  <si>
    <t>(7)</t>
  </si>
  <si>
    <t xml:space="preserve">Elektroenerģijas iepirkuma izmaksas, t.sk. neto balansēšanas izmaksas, milj. eiro, t.sk.: </t>
  </si>
  <si>
    <t>(8)</t>
  </si>
  <si>
    <t>Obligātā iepirkuma neto izmaksas (t.sk. balansēšanas izmaksas), milj. eiro</t>
  </si>
  <si>
    <t>(9)=(8)-(7)</t>
  </si>
  <si>
    <t>citas pozīcijas, ja attiecināmas uz B.9</t>
  </si>
  <si>
    <t>(10)</t>
  </si>
  <si>
    <t>Budžeta dotācija EPT</t>
  </si>
  <si>
    <t>(11)=(4.1)</t>
  </si>
  <si>
    <t>Avansa maksājumi</t>
  </si>
  <si>
    <t>(12)</t>
  </si>
  <si>
    <t>EPT Ietekme uz B.9</t>
  </si>
  <si>
    <t>(13)=(6)+(10)+(11)-(12)</t>
  </si>
  <si>
    <t>Rezervētās dividendes atbalstam tarifu pieauguma mazināšanai</t>
  </si>
  <si>
    <t>Kopējā ietekme uz B.9</t>
  </si>
  <si>
    <t>(14)=(3)-(4)+(13)</t>
  </si>
  <si>
    <t>Kopējā ietekme uz B.9, ņemot vērā AST dividendes</t>
  </si>
  <si>
    <t>* - izmaksu segšana SIA "Enerģijas publiskais tirgotājs"</t>
  </si>
  <si>
    <t>** - kompensācija AS "Sadales tīkls" par elektroenerģijas tarifu pieaugumu un mājsaimniecību lietotājiem izmaksāto kompensāciju</t>
  </si>
  <si>
    <t>*** - finansējums AS "Augstspriegumu tīkls" par rezerves palīgpakalpojuma nodrošināšanu</t>
  </si>
  <si>
    <t>**** - finansējums pieslēguma punkta izbūvei un SOPA</t>
  </si>
  <si>
    <t xml:space="preserve">***** - Prognozētie ieņēmumi no elektroenerģijas patērētājiem, tai skaitā iekļauts atbalsts energoietilpīgajiem uzņēmumiem  </t>
  </si>
  <si>
    <t>****** - AS "Augstsprieguma tīkls" dividendes pielikumā tiek iekļautas tikai, sākot ar 2026. gadu, kad daļa tiek novirzīta ar enerģētiku saistītu pasākumu finansēšanai</t>
  </si>
  <si>
    <t>(3)</t>
  </si>
  <si>
    <t>(4)</t>
  </si>
  <si>
    <t>(6)</t>
  </si>
  <si>
    <t>Kopējā ietekme uz B.9 2021. un 2022. gadā</t>
  </si>
  <si>
    <t xml:space="preserve">Ietekmes izmaiņas 2021-2022 kumulatīvi </t>
  </si>
  <si>
    <t>(2)-(1)</t>
  </si>
  <si>
    <t>(4)-(3)</t>
  </si>
  <si>
    <t>Kopējā ietekme uz B.9 2024. gadā</t>
  </si>
  <si>
    <t>Ietekmes izmaiņas 2023. gadā</t>
  </si>
  <si>
    <t>(6)-(5)</t>
  </si>
  <si>
    <t>AS "Augstspriegumu tīkls" aprēķins</t>
  </si>
  <si>
    <t>Jaudas rezerves apjoms</t>
  </si>
  <si>
    <t>MW</t>
  </si>
  <si>
    <t>Līguma cena, EUR bez PVN</t>
  </si>
  <si>
    <t>1MW stundā</t>
  </si>
  <si>
    <t>Līguma cena no 01.05.2024., EUR bez PVN**</t>
  </si>
  <si>
    <t>MK lēmumā noteiktie griesti, EUR bez PVN</t>
  </si>
  <si>
    <t>Kompensācijas piemērošanas termiņš</t>
  </si>
  <si>
    <t>01.07.2023.-31.12.2024.</t>
  </si>
  <si>
    <t>Izmaksas līguma ietvaros</t>
  </si>
  <si>
    <t>Kompensācijas aprēķins</t>
  </si>
  <si>
    <t>Mēnesis</t>
  </si>
  <si>
    <t>Dienu skaits mēnesī</t>
  </si>
  <si>
    <t>Izmaksas līguma ietvaros,
EUR bez PVN</t>
  </si>
  <si>
    <t>PVN, 21%
EUR</t>
  </si>
  <si>
    <t>Maksājumi par pakalpojumu kopā, EUR ar PVN</t>
  </si>
  <si>
    <t>Kompensācijas apmērs noslēgtā līguma ietvaros,*
EUR bez PVN</t>
  </si>
  <si>
    <t>Kompensācijas apmērs kopā,
EUR ar PVN</t>
  </si>
  <si>
    <t>2023 kopā</t>
  </si>
  <si>
    <t>2024 kopā</t>
  </si>
  <si>
    <t>* tiek kompensēta līguma cena virs 4.65 EUR/MW/stundā</t>
  </si>
  <si>
    <t>** kompensācijas apmērs par periodu 01.05.2024. - 31.12.2024. aprēķināta atbilstoši iepirkuma procedūras ietvaros noslēgtajam līguma ar AS ''Latvenergo'' Nr. AST/24-118. Līguma darbības termiņš no 01.05.2024. līdz 31.01.2025.</t>
  </si>
  <si>
    <t>Klimata un enerģētikas ministrijas kapacitātes stiprināšana</t>
  </si>
  <si>
    <t>Mēnešalgas grupa</t>
  </si>
  <si>
    <t>Amata saime</t>
  </si>
  <si>
    <t>Līmenis</t>
  </si>
  <si>
    <t>Slodze</t>
  </si>
  <si>
    <t>Esošā alga, EUR</t>
  </si>
  <si>
    <t>Kopā (ar slodzēm), EUR</t>
  </si>
  <si>
    <t>Gadā, EUR</t>
  </si>
  <si>
    <t>Vispārējās piemaksas (5%), EUR</t>
  </si>
  <si>
    <t>Prēmijas un naudas balvas (10%), EUR</t>
  </si>
  <si>
    <t>Sociālās garantijas (5%), EUR</t>
  </si>
  <si>
    <t xml:space="preserve">VSAOI, EUR </t>
  </si>
  <si>
    <t>Kopā, EUR</t>
  </si>
  <si>
    <t xml:space="preserve">26. </t>
  </si>
  <si>
    <t>II</t>
  </si>
  <si>
    <t>I</t>
  </si>
  <si>
    <t xml:space="preserve"> IIA</t>
  </si>
  <si>
    <t>39.1.</t>
  </si>
  <si>
    <t>IVA</t>
  </si>
  <si>
    <t>39.2</t>
  </si>
  <si>
    <t xml:space="preserve"> III</t>
  </si>
  <si>
    <t>26.</t>
  </si>
  <si>
    <t xml:space="preserve"> IVA</t>
  </si>
  <si>
    <t>37.</t>
  </si>
  <si>
    <t xml:space="preserve">9. </t>
  </si>
  <si>
    <t xml:space="preserve"> VA</t>
  </si>
  <si>
    <t>27.</t>
  </si>
  <si>
    <t>III</t>
  </si>
  <si>
    <t>1.1.</t>
  </si>
  <si>
    <t>IV</t>
  </si>
  <si>
    <t xml:space="preserve">Klimata un enerģētikas ministrijas 97.00. programmas "Nozaru vadība un politikas plānošana" bāze 2025. gadā, EUR </t>
  </si>
  <si>
    <t>Finansējums, kas tiek pārcelts no Viedās administrācijas un reģionālās attīstības ministrijas budžeta programmas uz Klimata un enerģētikas ministrijas budžetu, EUR</t>
  </si>
  <si>
    <t>Nepieciešamais finansējums, EUR</t>
  </si>
  <si>
    <t>Papildus pieprasāmais finansējums, EUR</t>
  </si>
  <si>
    <t>Papildus finansējums 2025. gadam atlīdzībai ievērojot pieauguma ierobežojumu 2,6% apmērā , EUR</t>
  </si>
  <si>
    <t>Papildus finansējums 2026-2028. gadam atlīdzībai ievērojot pieauguma ierobežojumu 2,6% apmērā , EUR</t>
  </si>
  <si>
    <t>Kopā papildus finansējums, kas pieprasāms 2025 gadam, EUR</t>
  </si>
  <si>
    <t>Kopā papildus finansējums, kas pieprasāms ikgadu 2026-2028. gadam, EUR</t>
  </si>
  <si>
    <t>Kopā atlīdzība 2025 gadam, EUR</t>
  </si>
  <si>
    <t>Attiecināmās  budžeta programmas (ar enerģētiku saistītie pasākumi):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</si>
</sst>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Cambria"/>
      <family val="1"/>
      <charset val="186"/>
    </font>
    <font>
      <sz val="10"/>
      <color rgb="FF000000"/>
      <name val="Cambria"/>
      <family val="1"/>
      <charset val="186"/>
    </font>
    <font>
      <b/>
      <sz val="12"/>
      <color theme="1"/>
      <name val="Cambria"/>
      <family val="1"/>
      <charset val="186"/>
    </font>
    <font>
      <b/>
      <sz val="10"/>
      <color theme="1"/>
      <name val="Cambria"/>
      <family val="1"/>
      <charset val="186"/>
    </font>
    <font>
      <b/>
      <sz val="10"/>
      <name val="Cambria"/>
      <family val="1"/>
      <charset val="186"/>
    </font>
    <font>
      <b/>
      <sz val="10"/>
      <color rgb="FFFF0000"/>
      <name val="Cambria"/>
      <family val="1"/>
      <charset val="186"/>
    </font>
    <font>
      <b/>
      <sz val="10"/>
      <color rgb="FF000000"/>
      <name val="Cambria"/>
      <family val="1"/>
      <charset val="186"/>
    </font>
    <font>
      <sz val="10"/>
      <color rgb="FFFF0000"/>
      <name val="Cambria"/>
      <family val="1"/>
      <charset val="186"/>
    </font>
    <font>
      <i/>
      <sz val="10"/>
      <color theme="1"/>
      <name val="Cambria"/>
      <family val="1"/>
      <charset val="186"/>
    </font>
    <font>
      <b/>
      <i/>
      <sz val="10"/>
      <color theme="1"/>
      <name val="Cambria"/>
      <family val="1"/>
      <charset val="186"/>
    </font>
    <font>
      <b/>
      <i/>
      <sz val="10"/>
      <color rgb="FFFF0000"/>
      <name val="Cambria"/>
      <family val="1"/>
      <charset val="186"/>
    </font>
    <font>
      <b/>
      <i/>
      <sz val="10"/>
      <name val="Cambria"/>
      <family val="1"/>
      <charset val="186"/>
    </font>
    <font>
      <i/>
      <sz val="10"/>
      <color rgb="FF0070C0"/>
      <name val="Cambria"/>
      <family val="1"/>
      <charset val="186"/>
    </font>
    <font>
      <sz val="10"/>
      <name val="Cambria"/>
      <family val="1"/>
      <charset val="186"/>
    </font>
    <font>
      <sz val="10"/>
      <color rgb="FF0070C0"/>
      <name val="Cambria"/>
      <family val="1"/>
      <charset val="186"/>
    </font>
    <font>
      <sz val="10"/>
      <color rgb="FF7030A0"/>
      <name val="Cambria"/>
      <family val="1"/>
      <charset val="186"/>
    </font>
    <font>
      <sz val="12"/>
      <color theme="1"/>
      <name val="Cambria"/>
      <family val="1"/>
      <charset val="186"/>
    </font>
    <font>
      <sz val="12"/>
      <name val="Cambria"/>
      <family val="1"/>
      <charset val="186"/>
    </font>
    <font>
      <b/>
      <sz val="12"/>
      <name val="Cambria"/>
      <family val="1"/>
      <charset val="186"/>
    </font>
    <font>
      <i/>
      <sz val="10"/>
      <name val="Cambria"/>
      <family val="1"/>
      <charset val="186"/>
    </font>
    <font>
      <sz val="12"/>
      <color rgb="FFFF0000"/>
      <name val="Cambria"/>
      <family val="1"/>
      <charset val="186"/>
    </font>
    <font>
      <i/>
      <sz val="10"/>
      <color rgb="FFFF0000"/>
      <name val="Cambria"/>
      <family val="1"/>
      <charset val="186"/>
    </font>
    <font>
      <sz val="8"/>
      <color theme="1"/>
      <name val="Cambria"/>
      <family val="1"/>
      <charset val="186"/>
    </font>
    <font>
      <i/>
      <sz val="8"/>
      <color theme="1"/>
      <name val="Cambria"/>
      <family val="1"/>
      <charset val="186"/>
    </font>
    <font>
      <sz val="8"/>
      <name val="Cambria"/>
      <family val="1"/>
      <charset val="186"/>
    </font>
    <font>
      <sz val="11"/>
      <color theme="8"/>
      <name val="Calibri"/>
      <family val="2"/>
      <charset val="186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87">
    <xf numFmtId="0" fontId="0" fillId="0" borderId="0" xfId="0"/>
    <xf numFmtId="0" fontId="3" fillId="0" borderId="0" xfId="0" applyFont="1"/>
    <xf numFmtId="0" fontId="3" fillId="0" borderId="10" xfId="0" applyFont="1" applyBorder="1"/>
    <xf numFmtId="0" fontId="7" fillId="0" borderId="53" xfId="0" applyFont="1" applyBorder="1" applyAlignment="1">
      <alignment horizontal="center" vertical="center"/>
    </xf>
    <xf numFmtId="0" fontId="3" fillId="0" borderId="13" xfId="0" applyFont="1" applyBorder="1"/>
    <xf numFmtId="0" fontId="6" fillId="0" borderId="27" xfId="0" applyFont="1" applyBorder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6" fillId="0" borderId="47" xfId="0" applyFont="1" applyBorder="1" applyAlignment="1">
      <alignment horizontal="center" wrapText="1"/>
    </xf>
    <xf numFmtId="0" fontId="6" fillId="0" borderId="39" xfId="0" applyFont="1" applyBorder="1" applyAlignment="1">
      <alignment horizontal="center" wrapText="1"/>
    </xf>
    <xf numFmtId="0" fontId="6" fillId="0" borderId="40" xfId="0" applyFont="1" applyBorder="1" applyAlignment="1">
      <alignment horizontal="center" wrapText="1"/>
    </xf>
    <xf numFmtId="0" fontId="6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9" fillId="4" borderId="28" xfId="0" applyFont="1" applyFill="1" applyBorder="1"/>
    <xf numFmtId="3" fontId="6" fillId="4" borderId="5" xfId="0" applyNumberFormat="1" applyFont="1" applyFill="1" applyBorder="1" applyAlignment="1">
      <alignment horizontal="right" vertical="center"/>
    </xf>
    <xf numFmtId="3" fontId="6" fillId="4" borderId="4" xfId="0" applyNumberFormat="1" applyFont="1" applyFill="1" applyBorder="1" applyAlignment="1">
      <alignment horizontal="right" vertical="center" wrapText="1"/>
    </xf>
    <xf numFmtId="3" fontId="6" fillId="4" borderId="6" xfId="0" applyNumberFormat="1" applyFont="1" applyFill="1" applyBorder="1" applyAlignment="1">
      <alignment horizontal="right" vertical="center" wrapText="1"/>
    </xf>
    <xf numFmtId="3" fontId="6" fillId="4" borderId="5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 wrapText="1"/>
    </xf>
    <xf numFmtId="3" fontId="6" fillId="4" borderId="30" xfId="2" applyNumberFormat="1" applyFont="1" applyFill="1" applyBorder="1" applyAlignment="1">
      <alignment vertical="center" wrapText="1"/>
    </xf>
    <xf numFmtId="3" fontId="6" fillId="4" borderId="5" xfId="2" applyNumberFormat="1" applyFont="1" applyFill="1" applyBorder="1" applyAlignment="1">
      <alignment vertical="center"/>
    </xf>
    <xf numFmtId="3" fontId="6" fillId="4" borderId="5" xfId="0" applyNumberFormat="1" applyFont="1" applyFill="1" applyBorder="1" applyAlignment="1">
      <alignment horizontal="right" vertical="center" wrapText="1"/>
    </xf>
    <xf numFmtId="3" fontId="6" fillId="4" borderId="5" xfId="0" applyNumberFormat="1" applyFont="1" applyFill="1" applyBorder="1" applyAlignment="1">
      <alignment vertical="center" wrapText="1"/>
    </xf>
    <xf numFmtId="3" fontId="6" fillId="4" borderId="5" xfId="2" applyNumberFormat="1" applyFont="1" applyFill="1" applyBorder="1" applyAlignment="1">
      <alignment vertical="center" wrapText="1"/>
    </xf>
    <xf numFmtId="3" fontId="6" fillId="5" borderId="4" xfId="0" applyNumberFormat="1" applyFont="1" applyFill="1" applyBorder="1" applyAlignment="1">
      <alignment horizontal="justify" vertical="center" wrapText="1"/>
    </xf>
    <xf numFmtId="3" fontId="6" fillId="5" borderId="30" xfId="0" applyNumberFormat="1" applyFont="1" applyFill="1" applyBorder="1" applyAlignment="1">
      <alignment horizontal="justify" vertical="center" wrapText="1"/>
    </xf>
    <xf numFmtId="3" fontId="6" fillId="5" borderId="5" xfId="0" applyNumberFormat="1" applyFont="1" applyFill="1" applyBorder="1" applyAlignment="1">
      <alignment vertical="center"/>
    </xf>
    <xf numFmtId="3" fontId="6" fillId="5" borderId="4" xfId="0" applyNumberFormat="1" applyFont="1" applyFill="1" applyBorder="1" applyAlignment="1">
      <alignment vertical="center"/>
    </xf>
    <xf numFmtId="3" fontId="6" fillId="5" borderId="6" xfId="2" applyNumberFormat="1" applyFont="1" applyFill="1" applyBorder="1" applyAlignment="1">
      <alignment vertical="center"/>
    </xf>
    <xf numFmtId="3" fontId="6" fillId="5" borderId="5" xfId="2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horizontal="justify" vertical="center" wrapText="1"/>
    </xf>
    <xf numFmtId="3" fontId="12" fillId="5" borderId="4" xfId="0" applyNumberFormat="1" applyFont="1" applyFill="1" applyBorder="1" applyAlignment="1">
      <alignment horizontal="justify" vertical="center"/>
    </xf>
    <xf numFmtId="3" fontId="12" fillId="5" borderId="5" xfId="0" applyNumberFormat="1" applyFont="1" applyFill="1" applyBorder="1" applyAlignment="1">
      <alignment vertical="center"/>
    </xf>
    <xf numFmtId="3" fontId="12" fillId="5" borderId="4" xfId="0" applyNumberFormat="1" applyFont="1" applyFill="1" applyBorder="1" applyAlignment="1">
      <alignment vertical="center"/>
    </xf>
    <xf numFmtId="3" fontId="12" fillId="5" borderId="6" xfId="0" applyNumberFormat="1" applyFont="1" applyFill="1" applyBorder="1" applyAlignment="1">
      <alignment vertical="center" wrapText="1"/>
    </xf>
    <xf numFmtId="3" fontId="13" fillId="5" borderId="34" xfId="0" applyNumberFormat="1" applyFont="1" applyFill="1" applyBorder="1" applyAlignment="1">
      <alignment vertical="center" wrapText="1"/>
    </xf>
    <xf numFmtId="3" fontId="13" fillId="5" borderId="28" xfId="0" applyNumberFormat="1" applyFont="1" applyFill="1" applyBorder="1" applyAlignment="1">
      <alignment vertical="center" wrapText="1"/>
    </xf>
    <xf numFmtId="3" fontId="6" fillId="5" borderId="4" xfId="0" applyNumberFormat="1" applyFont="1" applyFill="1" applyBorder="1" applyAlignment="1">
      <alignment horizontal="justify" vertical="center"/>
    </xf>
    <xf numFmtId="3" fontId="8" fillId="5" borderId="4" xfId="0" applyNumberFormat="1" applyFont="1" applyFill="1" applyBorder="1" applyAlignment="1">
      <alignment horizontal="justify" vertical="center" wrapText="1"/>
    </xf>
    <xf numFmtId="3" fontId="6" fillId="5" borderId="6" xfId="0" applyNumberFormat="1" applyFont="1" applyFill="1" applyBorder="1" applyAlignment="1">
      <alignment vertical="center" wrapText="1"/>
    </xf>
    <xf numFmtId="3" fontId="8" fillId="5" borderId="34" xfId="0" applyNumberFormat="1" applyFont="1" applyFill="1" applyBorder="1" applyAlignment="1">
      <alignment vertical="center" wrapText="1"/>
    </xf>
    <xf numFmtId="3" fontId="8" fillId="5" borderId="28" xfId="0" applyNumberFormat="1" applyFont="1" applyFill="1" applyBorder="1" applyAlignment="1">
      <alignment vertical="center" wrapText="1"/>
    </xf>
    <xf numFmtId="3" fontId="6" fillId="5" borderId="6" xfId="2" applyNumberFormat="1" applyFont="1" applyFill="1" applyBorder="1" applyAlignment="1">
      <alignment vertical="center" wrapText="1"/>
    </xf>
    <xf numFmtId="3" fontId="6" fillId="5" borderId="5" xfId="2" applyNumberFormat="1" applyFont="1" applyFill="1" applyBorder="1" applyAlignment="1">
      <alignment vertical="center" wrapText="1"/>
    </xf>
    <xf numFmtId="3" fontId="12" fillId="5" borderId="6" xfId="2" applyNumberFormat="1" applyFont="1" applyFill="1" applyBorder="1" applyAlignment="1">
      <alignment vertical="center"/>
    </xf>
    <xf numFmtId="3" fontId="13" fillId="5" borderId="34" xfId="2" applyNumberFormat="1" applyFont="1" applyFill="1" applyBorder="1" applyAlignment="1">
      <alignment vertical="center" wrapText="1"/>
    </xf>
    <xf numFmtId="3" fontId="13" fillId="5" borderId="28" xfId="2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wrapText="1"/>
    </xf>
    <xf numFmtId="49" fontId="4" fillId="2" borderId="4" xfId="0" applyNumberFormat="1" applyFont="1" applyFill="1" applyBorder="1" applyAlignment="1">
      <alignment horizontal="left" vertical="center" wrapText="1"/>
    </xf>
    <xf numFmtId="3" fontId="3" fillId="2" borderId="4" xfId="0" applyNumberFormat="1" applyFont="1" applyFill="1" applyBorder="1" applyAlignment="1">
      <alignment horizontal="right" vertical="center"/>
    </xf>
    <xf numFmtId="3" fontId="3" fillId="8" borderId="30" xfId="0" applyNumberFormat="1" applyFont="1" applyFill="1" applyBorder="1" applyAlignment="1">
      <alignment horizontal="right" vertical="center"/>
    </xf>
    <xf numFmtId="3" fontId="3" fillId="2" borderId="5" xfId="0" applyNumberFormat="1" applyFont="1" applyFill="1" applyBorder="1" applyAlignment="1">
      <alignment horizontal="right" vertical="center"/>
    </xf>
    <xf numFmtId="3" fontId="3" fillId="2" borderId="30" xfId="0" applyNumberFormat="1" applyFont="1" applyFill="1" applyBorder="1" applyAlignment="1">
      <alignment horizontal="right" vertical="center"/>
    </xf>
    <xf numFmtId="3" fontId="3" fillId="2" borderId="5" xfId="0" applyNumberFormat="1" applyFont="1" applyFill="1" applyBorder="1" applyAlignment="1">
      <alignment vertical="center"/>
    </xf>
    <xf numFmtId="3" fontId="3" fillId="2" borderId="4" xfId="0" applyNumberFormat="1" applyFont="1" applyFill="1" applyBorder="1" applyAlignment="1">
      <alignment vertical="center"/>
    </xf>
    <xf numFmtId="3" fontId="3" fillId="2" borderId="6" xfId="0" applyNumberFormat="1" applyFont="1" applyFill="1" applyBorder="1" applyAlignment="1">
      <alignment vertical="center"/>
    </xf>
    <xf numFmtId="0" fontId="9" fillId="2" borderId="5" xfId="0" applyFont="1" applyFill="1" applyBorder="1" applyAlignment="1">
      <alignment horizontal="left" vertical="center" wrapText="1"/>
    </xf>
    <xf numFmtId="3" fontId="15" fillId="2" borderId="4" xfId="0" applyNumberFormat="1" applyFont="1" applyFill="1" applyBorder="1" applyAlignment="1">
      <alignment horizontal="right" vertical="center"/>
    </xf>
    <xf numFmtId="3" fontId="15" fillId="2" borderId="30" xfId="0" applyNumberFormat="1" applyFont="1" applyFill="1" applyBorder="1" applyAlignment="1">
      <alignment horizontal="right" vertical="center"/>
    </xf>
    <xf numFmtId="3" fontId="11" fillId="2" borderId="4" xfId="0" applyNumberFormat="1" applyFont="1" applyFill="1" applyBorder="1" applyAlignment="1">
      <alignment vertical="center"/>
    </xf>
    <xf numFmtId="3" fontId="11" fillId="2" borderId="6" xfId="0" applyNumberFormat="1" applyFont="1" applyFill="1" applyBorder="1" applyAlignment="1">
      <alignment vertical="center"/>
    </xf>
    <xf numFmtId="0" fontId="3" fillId="2" borderId="5" xfId="0" applyFont="1" applyFill="1" applyBorder="1"/>
    <xf numFmtId="49" fontId="3" fillId="2" borderId="4" xfId="0" applyNumberFormat="1" applyFont="1" applyFill="1" applyBorder="1" applyAlignment="1">
      <alignment horizontal="left" vertical="center"/>
    </xf>
    <xf numFmtId="0" fontId="3" fillId="2" borderId="27" xfId="0" applyFont="1" applyFill="1" applyBorder="1"/>
    <xf numFmtId="49" fontId="3" fillId="2" borderId="14" xfId="0" applyNumberFormat="1" applyFont="1" applyFill="1" applyBorder="1" applyAlignment="1">
      <alignment horizontal="left" vertical="center"/>
    </xf>
    <xf numFmtId="3" fontId="3" fillId="2" borderId="14" xfId="0" applyNumberFormat="1" applyFont="1" applyFill="1" applyBorder="1" applyAlignment="1">
      <alignment horizontal="right" vertical="center"/>
    </xf>
    <xf numFmtId="3" fontId="3" fillId="2" borderId="32" xfId="0" applyNumberFormat="1" applyFont="1" applyFill="1" applyBorder="1" applyAlignment="1">
      <alignment horizontal="right" vertical="center"/>
    </xf>
    <xf numFmtId="3" fontId="3" fillId="2" borderId="27" xfId="0" applyNumberFormat="1" applyFont="1" applyFill="1" applyBorder="1" applyAlignment="1">
      <alignment horizontal="right" vertical="center"/>
    </xf>
    <xf numFmtId="3" fontId="3" fillId="2" borderId="27" xfId="0" applyNumberFormat="1" applyFont="1" applyFill="1" applyBorder="1" applyAlignment="1">
      <alignment vertical="center"/>
    </xf>
    <xf numFmtId="3" fontId="3" fillId="2" borderId="14" xfId="0" applyNumberFormat="1" applyFont="1" applyFill="1" applyBorder="1" applyAlignment="1">
      <alignment vertical="center"/>
    </xf>
    <xf numFmtId="3" fontId="3" fillId="2" borderId="58" xfId="0" applyNumberFormat="1" applyFont="1" applyFill="1" applyBorder="1" applyAlignment="1">
      <alignment vertical="center"/>
    </xf>
    <xf numFmtId="0" fontId="16" fillId="3" borderId="15" xfId="0" applyFont="1" applyFill="1" applyBorder="1"/>
    <xf numFmtId="49" fontId="17" fillId="3" borderId="16" xfId="0" applyNumberFormat="1" applyFont="1" applyFill="1" applyBorder="1" applyAlignment="1">
      <alignment horizontal="left" vertical="center"/>
    </xf>
    <xf numFmtId="3" fontId="17" fillId="3" borderId="16" xfId="0" applyNumberFormat="1" applyFont="1" applyFill="1" applyBorder="1" applyAlignment="1">
      <alignment horizontal="right" vertical="center"/>
    </xf>
    <xf numFmtId="3" fontId="17" fillId="3" borderId="33" xfId="0" applyNumberFormat="1" applyFont="1" applyFill="1" applyBorder="1" applyAlignment="1">
      <alignment horizontal="right" vertical="center"/>
    </xf>
    <xf numFmtId="3" fontId="16" fillId="3" borderId="15" xfId="0" applyNumberFormat="1" applyFont="1" applyFill="1" applyBorder="1" applyAlignment="1">
      <alignment horizontal="right" vertical="center"/>
    </xf>
    <xf numFmtId="3" fontId="16" fillId="3" borderId="16" xfId="0" applyNumberFormat="1" applyFont="1" applyFill="1" applyBorder="1" applyAlignment="1">
      <alignment horizontal="right" vertical="center"/>
    </xf>
    <xf numFmtId="3" fontId="16" fillId="3" borderId="33" xfId="0" applyNumberFormat="1" applyFont="1" applyFill="1" applyBorder="1" applyAlignment="1">
      <alignment horizontal="right" vertical="center"/>
    </xf>
    <xf numFmtId="3" fontId="16" fillId="3" borderId="15" xfId="0" applyNumberFormat="1" applyFont="1" applyFill="1" applyBorder="1" applyAlignment="1">
      <alignment vertical="center"/>
    </xf>
    <xf numFmtId="3" fontId="16" fillId="3" borderId="16" xfId="0" applyNumberFormat="1" applyFont="1" applyFill="1" applyBorder="1" applyAlignment="1">
      <alignment vertical="center"/>
    </xf>
    <xf numFmtId="3" fontId="16" fillId="3" borderId="24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16" fillId="2" borderId="56" xfId="0" applyNumberFormat="1" applyFont="1" applyFill="1" applyBorder="1" applyAlignment="1">
      <alignment horizontal="right" vertical="center"/>
    </xf>
    <xf numFmtId="3" fontId="16" fillId="2" borderId="41" xfId="0" applyNumberFormat="1" applyFont="1" applyFill="1" applyBorder="1" applyAlignment="1">
      <alignment horizontal="right" vertical="center"/>
    </xf>
    <xf numFmtId="3" fontId="16" fillId="2" borderId="56" xfId="0" applyNumberFormat="1" applyFont="1" applyFill="1" applyBorder="1" applyAlignment="1">
      <alignment vertical="center"/>
    </xf>
    <xf numFmtId="3" fontId="16" fillId="2" borderId="41" xfId="0" applyNumberFormat="1" applyFont="1" applyFill="1" applyBorder="1" applyAlignment="1">
      <alignment vertical="center"/>
    </xf>
    <xf numFmtId="3" fontId="16" fillId="2" borderId="57" xfId="0" applyNumberFormat="1" applyFont="1" applyFill="1" applyBorder="1" applyAlignment="1">
      <alignment vertical="center"/>
    </xf>
    <xf numFmtId="0" fontId="8" fillId="3" borderId="23" xfId="0" applyFont="1" applyFill="1" applyBorder="1"/>
    <xf numFmtId="0" fontId="7" fillId="3" borderId="15" xfId="0" applyFont="1" applyFill="1" applyBorder="1"/>
    <xf numFmtId="49" fontId="8" fillId="3" borderId="16" xfId="0" applyNumberFormat="1" applyFont="1" applyFill="1" applyBorder="1"/>
    <xf numFmtId="3" fontId="3" fillId="3" borderId="16" xfId="0" applyNumberFormat="1" applyFont="1" applyFill="1" applyBorder="1" applyAlignment="1">
      <alignment horizontal="right" vertical="center"/>
    </xf>
    <xf numFmtId="3" fontId="3" fillId="3" borderId="33" xfId="0" applyNumberFormat="1" applyFont="1" applyFill="1" applyBorder="1" applyAlignment="1">
      <alignment horizontal="right" vertical="center"/>
    </xf>
    <xf numFmtId="3" fontId="16" fillId="3" borderId="24" xfId="0" applyNumberFormat="1" applyFont="1" applyFill="1" applyBorder="1" applyAlignment="1">
      <alignment horizontal="right" vertical="center"/>
    </xf>
    <xf numFmtId="3" fontId="16" fillId="3" borderId="25" xfId="0" applyNumberFormat="1" applyFont="1" applyFill="1" applyBorder="1" applyAlignment="1">
      <alignment horizontal="right" vertical="center"/>
    </xf>
    <xf numFmtId="0" fontId="6" fillId="0" borderId="13" xfId="0" applyFont="1" applyBorder="1"/>
    <xf numFmtId="49" fontId="3" fillId="0" borderId="0" xfId="0" applyNumberFormat="1" applyFont="1"/>
    <xf numFmtId="3" fontId="18" fillId="0" borderId="0" xfId="0" applyNumberFormat="1" applyFont="1"/>
    <xf numFmtId="0" fontId="18" fillId="0" borderId="0" xfId="0" applyFont="1"/>
    <xf numFmtId="0" fontId="3" fillId="6" borderId="0" xfId="0" applyFont="1" applyFill="1"/>
    <xf numFmtId="3" fontId="3" fillId="6" borderId="0" xfId="0" applyNumberFormat="1" applyFont="1" applyFill="1" applyAlignment="1">
      <alignment horizontal="center" vertical="center"/>
    </xf>
    <xf numFmtId="3" fontId="17" fillId="6" borderId="0" xfId="0" applyNumberFormat="1" applyFont="1" applyFill="1"/>
    <xf numFmtId="49" fontId="3" fillId="0" borderId="0" xfId="0" applyNumberFormat="1" applyFont="1" applyAlignment="1">
      <alignment horizontal="center"/>
    </xf>
    <xf numFmtId="49" fontId="3" fillId="6" borderId="0" xfId="0" applyNumberFormat="1" applyFont="1" applyFill="1" applyAlignment="1">
      <alignment horizontal="center"/>
    </xf>
    <xf numFmtId="0" fontId="3" fillId="5" borderId="21" xfId="0" applyFont="1" applyFill="1" applyBorder="1"/>
    <xf numFmtId="0" fontId="3" fillId="5" borderId="10" xfId="0" applyFont="1" applyFill="1" applyBorder="1"/>
    <xf numFmtId="3" fontId="3" fillId="5" borderId="17" xfId="0" applyNumberFormat="1" applyFont="1" applyFill="1" applyBorder="1"/>
    <xf numFmtId="3" fontId="3" fillId="5" borderId="18" xfId="0" applyNumberFormat="1" applyFont="1" applyFill="1" applyBorder="1"/>
    <xf numFmtId="3" fontId="3" fillId="5" borderId="0" xfId="0" applyNumberFormat="1" applyFont="1" applyFill="1"/>
    <xf numFmtId="0" fontId="3" fillId="5" borderId="22" xfId="0" applyFont="1" applyFill="1" applyBorder="1"/>
    <xf numFmtId="3" fontId="10" fillId="5" borderId="1" xfId="0" applyNumberFormat="1" applyFont="1" applyFill="1" applyBorder="1"/>
    <xf numFmtId="49" fontId="3" fillId="5" borderId="2" xfId="0" applyNumberFormat="1" applyFont="1" applyFill="1" applyBorder="1" applyAlignment="1">
      <alignment horizontal="right"/>
    </xf>
    <xf numFmtId="3" fontId="3" fillId="7" borderId="2" xfId="0" applyNumberFormat="1" applyFont="1" applyFill="1" applyBorder="1"/>
    <xf numFmtId="3" fontId="3" fillId="7" borderId="3" xfId="0" applyNumberFormat="1" applyFont="1" applyFill="1" applyBorder="1"/>
    <xf numFmtId="3" fontId="3" fillId="7" borderId="0" xfId="0" applyNumberFormat="1" applyFont="1" applyFill="1"/>
    <xf numFmtId="49" fontId="3" fillId="5" borderId="17" xfId="0" applyNumberFormat="1" applyFont="1" applyFill="1" applyBorder="1"/>
    <xf numFmtId="0" fontId="3" fillId="5" borderId="17" xfId="0" applyFont="1" applyFill="1" applyBorder="1"/>
    <xf numFmtId="3" fontId="3" fillId="5" borderId="10" xfId="0" applyNumberFormat="1" applyFont="1" applyFill="1" applyBorder="1"/>
    <xf numFmtId="0" fontId="3" fillId="5" borderId="1" xfId="0" applyFont="1" applyFill="1" applyBorder="1"/>
    <xf numFmtId="49" fontId="3" fillId="5" borderId="2" xfId="0" applyNumberFormat="1" applyFont="1" applyFill="1" applyBorder="1"/>
    <xf numFmtId="3" fontId="3" fillId="5" borderId="2" xfId="0" applyNumberFormat="1" applyFont="1" applyFill="1" applyBorder="1"/>
    <xf numFmtId="0" fontId="3" fillId="5" borderId="2" xfId="0" applyFont="1" applyFill="1" applyBorder="1"/>
    <xf numFmtId="49" fontId="3" fillId="5" borderId="1" xfId="0" applyNumberFormat="1" applyFont="1" applyFill="1" applyBorder="1" applyAlignment="1">
      <alignment horizontal="right"/>
    </xf>
    <xf numFmtId="3" fontId="3" fillId="0" borderId="0" xfId="0" applyNumberFormat="1" applyFont="1"/>
    <xf numFmtId="0" fontId="3" fillId="0" borderId="1" xfId="0" applyFont="1" applyBorder="1"/>
    <xf numFmtId="49" fontId="3" fillId="0" borderId="2" xfId="0" applyNumberFormat="1" applyFont="1" applyBorder="1"/>
    <xf numFmtId="3" fontId="3" fillId="0" borderId="2" xfId="0" applyNumberFormat="1" applyFont="1" applyBorder="1"/>
    <xf numFmtId="0" fontId="3" fillId="0" borderId="2" xfId="0" applyFont="1" applyBorder="1"/>
    <xf numFmtId="3" fontId="18" fillId="0" borderId="0" xfId="0" applyNumberFormat="1" applyFont="1" applyAlignment="1">
      <alignment horizontal="right" vertical="center"/>
    </xf>
    <xf numFmtId="0" fontId="9" fillId="4" borderId="49" xfId="0" applyFont="1" applyFill="1" applyBorder="1" applyAlignment="1">
      <alignment wrapText="1"/>
    </xf>
    <xf numFmtId="3" fontId="6" fillId="4" borderId="27" xfId="0" applyNumberFormat="1" applyFont="1" applyFill="1" applyBorder="1" applyAlignment="1">
      <alignment horizontal="right" vertical="center" wrapText="1"/>
    </xf>
    <xf numFmtId="3" fontId="6" fillId="4" borderId="14" xfId="0" applyNumberFormat="1" applyFont="1" applyFill="1" applyBorder="1" applyAlignment="1">
      <alignment horizontal="right" vertical="center" wrapText="1"/>
    </xf>
    <xf numFmtId="3" fontId="6" fillId="4" borderId="58" xfId="0" applyNumberFormat="1" applyFont="1" applyFill="1" applyBorder="1" applyAlignment="1">
      <alignment horizontal="right" vertical="center" wrapText="1"/>
    </xf>
    <xf numFmtId="3" fontId="6" fillId="4" borderId="27" xfId="0" applyNumberFormat="1" applyFont="1" applyFill="1" applyBorder="1" applyAlignment="1">
      <alignment vertical="center" wrapText="1"/>
    </xf>
    <xf numFmtId="3" fontId="6" fillId="4" borderId="14" xfId="0" applyNumberFormat="1" applyFont="1" applyFill="1" applyBorder="1" applyAlignment="1">
      <alignment vertical="center" wrapText="1"/>
    </xf>
    <xf numFmtId="3" fontId="6" fillId="4" borderId="32" xfId="2" applyNumberFormat="1" applyFont="1" applyFill="1" applyBorder="1" applyAlignment="1">
      <alignment vertical="center" wrapText="1"/>
    </xf>
    <xf numFmtId="3" fontId="6" fillId="4" borderId="27" xfId="2" applyNumberFormat="1" applyFont="1" applyFill="1" applyBorder="1" applyAlignment="1">
      <alignment vertical="center" wrapText="1"/>
    </xf>
    <xf numFmtId="3" fontId="6" fillId="5" borderId="51" xfId="0" applyNumberFormat="1" applyFont="1" applyFill="1" applyBorder="1" applyAlignment="1">
      <alignment horizontal="right" vertical="center" wrapText="1"/>
    </xf>
    <xf numFmtId="3" fontId="6" fillId="5" borderId="54" xfId="0" applyNumberFormat="1" applyFont="1" applyFill="1" applyBorder="1" applyAlignment="1">
      <alignment horizontal="right" vertical="center" wrapText="1"/>
    </xf>
    <xf numFmtId="3" fontId="6" fillId="5" borderId="50" xfId="0" applyNumberFormat="1" applyFont="1" applyFill="1" applyBorder="1" applyAlignment="1">
      <alignment vertical="center" wrapText="1"/>
    </xf>
    <xf numFmtId="3" fontId="6" fillId="5" borderId="51" xfId="0" applyNumberFormat="1" applyFont="1" applyFill="1" applyBorder="1" applyAlignment="1">
      <alignment vertical="center" wrapText="1"/>
    </xf>
    <xf numFmtId="3" fontId="6" fillId="5" borderId="52" xfId="2" applyNumberFormat="1" applyFont="1" applyFill="1" applyBorder="1" applyAlignment="1">
      <alignment vertical="center" wrapText="1"/>
    </xf>
    <xf numFmtId="3" fontId="6" fillId="5" borderId="8" xfId="0" applyNumberFormat="1" applyFont="1" applyFill="1" applyBorder="1" applyAlignment="1">
      <alignment horizontal="justify" vertical="center" wrapText="1"/>
    </xf>
    <xf numFmtId="3" fontId="6" fillId="5" borderId="8" xfId="0" applyNumberFormat="1" applyFont="1" applyFill="1" applyBorder="1" applyAlignment="1">
      <alignment horizontal="justify" vertical="center"/>
    </xf>
    <xf numFmtId="3" fontId="6" fillId="5" borderId="7" xfId="0" applyNumberFormat="1" applyFont="1" applyFill="1" applyBorder="1" applyAlignment="1">
      <alignment vertical="center"/>
    </xf>
    <xf numFmtId="3" fontId="6" fillId="5" borderId="8" xfId="0" applyNumberFormat="1" applyFont="1" applyFill="1" applyBorder="1" applyAlignment="1">
      <alignment vertical="center"/>
    </xf>
    <xf numFmtId="3" fontId="11" fillId="5" borderId="5" xfId="2" applyNumberFormat="1" applyFont="1" applyFill="1" applyBorder="1" applyAlignment="1">
      <alignment vertical="center" wrapText="1"/>
    </xf>
    <xf numFmtId="3" fontId="11" fillId="5" borderId="5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6" xfId="0" applyNumberFormat="1" applyFont="1" applyFill="1" applyBorder="1" applyAlignment="1">
      <alignment vertical="center" wrapText="1"/>
    </xf>
    <xf numFmtId="3" fontId="7" fillId="5" borderId="34" xfId="2" applyNumberFormat="1" applyFont="1" applyFill="1" applyBorder="1" applyAlignment="1">
      <alignment vertical="center" wrapText="1"/>
    </xf>
    <xf numFmtId="3" fontId="7" fillId="5" borderId="28" xfId="2" applyNumberFormat="1" applyFont="1" applyFill="1" applyBorder="1" applyAlignment="1">
      <alignment vertical="center" wrapText="1"/>
    </xf>
    <xf numFmtId="3" fontId="11" fillId="5" borderId="6" xfId="2" applyNumberFormat="1" applyFont="1" applyFill="1" applyBorder="1" applyAlignment="1">
      <alignment vertical="center" wrapText="1"/>
    </xf>
    <xf numFmtId="3" fontId="7" fillId="5" borderId="34" xfId="0" applyNumberFormat="1" applyFont="1" applyFill="1" applyBorder="1" applyAlignment="1">
      <alignment vertical="center" wrapText="1"/>
    </xf>
    <xf numFmtId="3" fontId="7" fillId="4" borderId="6" xfId="2" applyNumberFormat="1" applyFont="1" applyFill="1" applyBorder="1" applyAlignment="1">
      <alignment vertical="center" wrapText="1"/>
    </xf>
    <xf numFmtId="0" fontId="19" fillId="0" borderId="0" xfId="0" applyFont="1"/>
    <xf numFmtId="0" fontId="7" fillId="0" borderId="17" xfId="0" applyFont="1" applyBorder="1" applyAlignment="1">
      <alignment horizontal="center" vertical="center" wrapText="1"/>
    </xf>
    <xf numFmtId="3" fontId="3" fillId="2" borderId="30" xfId="0" applyNumberFormat="1" applyFont="1" applyFill="1" applyBorder="1" applyAlignment="1">
      <alignment vertical="center"/>
    </xf>
    <xf numFmtId="3" fontId="11" fillId="2" borderId="30" xfId="0" applyNumberFormat="1" applyFont="1" applyFill="1" applyBorder="1" applyAlignment="1">
      <alignment vertical="center"/>
    </xf>
    <xf numFmtId="3" fontId="3" fillId="2" borderId="32" xfId="0" applyNumberFormat="1" applyFont="1" applyFill="1" applyBorder="1" applyAlignment="1">
      <alignment vertical="center"/>
    </xf>
    <xf numFmtId="3" fontId="16" fillId="3" borderId="33" xfId="0" applyNumberFormat="1" applyFont="1" applyFill="1" applyBorder="1" applyAlignment="1">
      <alignment vertical="center"/>
    </xf>
    <xf numFmtId="3" fontId="16" fillId="2" borderId="42" xfId="0" applyNumberFormat="1" applyFont="1" applyFill="1" applyBorder="1" applyAlignment="1">
      <alignment vertical="center"/>
    </xf>
    <xf numFmtId="3" fontId="6" fillId="4" borderId="6" xfId="2" applyNumberFormat="1" applyFont="1" applyFill="1" applyBorder="1" applyAlignment="1">
      <alignment vertical="center" wrapText="1"/>
    </xf>
    <xf numFmtId="3" fontId="6" fillId="4" borderId="58" xfId="2" applyNumberFormat="1" applyFont="1" applyFill="1" applyBorder="1" applyAlignment="1">
      <alignment vertical="center" wrapText="1"/>
    </xf>
    <xf numFmtId="0" fontId="7" fillId="0" borderId="39" xfId="0" applyFont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left" vertical="center" wrapText="1"/>
    </xf>
    <xf numFmtId="3" fontId="19" fillId="10" borderId="4" xfId="0" applyNumberFormat="1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" fontId="19" fillId="10" borderId="4" xfId="0" applyNumberFormat="1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" fontId="19" fillId="0" borderId="4" xfId="0" applyNumberFormat="1" applyFont="1" applyBorder="1" applyAlignment="1">
      <alignment horizontal="center" vertical="center"/>
    </xf>
    <xf numFmtId="3" fontId="19" fillId="0" borderId="4" xfId="0" applyNumberFormat="1" applyFont="1" applyBorder="1" applyAlignment="1">
      <alignment horizontal="center" vertical="center"/>
    </xf>
    <xf numFmtId="4" fontId="19" fillId="10" borderId="4" xfId="0" applyNumberFormat="1" applyFont="1" applyFill="1" applyBorder="1" applyAlignment="1">
      <alignment vertical="center"/>
    </xf>
    <xf numFmtId="43" fontId="19" fillId="0" borderId="4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4" fontId="19" fillId="0" borderId="4" xfId="0" applyNumberFormat="1" applyFont="1" applyBorder="1" applyAlignment="1">
      <alignment vertical="center"/>
    </xf>
    <xf numFmtId="17" fontId="5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4" fontId="5" fillId="10" borderId="4" xfId="0" applyNumberFormat="1" applyFont="1" applyFill="1" applyBorder="1" applyAlignment="1">
      <alignment vertical="center"/>
    </xf>
    <xf numFmtId="4" fontId="5" fillId="0" borderId="4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vertical="center"/>
    </xf>
    <xf numFmtId="4" fontId="5" fillId="11" borderId="4" xfId="0" applyNumberFormat="1" applyFont="1" applyFill="1" applyBorder="1" applyAlignment="1">
      <alignment vertical="center"/>
    </xf>
    <xf numFmtId="0" fontId="19" fillId="10" borderId="4" xfId="0" applyFont="1" applyFill="1" applyBorder="1" applyAlignment="1">
      <alignment vertical="center" wrapText="1"/>
    </xf>
    <xf numFmtId="0" fontId="19" fillId="0" borderId="0" xfId="0" applyFont="1" applyAlignment="1">
      <alignment horizontal="center"/>
    </xf>
    <xf numFmtId="3" fontId="19" fillId="0" borderId="0" xfId="0" applyNumberFormat="1" applyFont="1" applyAlignment="1">
      <alignment horizontal="center"/>
    </xf>
    <xf numFmtId="3" fontId="19" fillId="0" borderId="0" xfId="0" applyNumberFormat="1" applyFont="1"/>
    <xf numFmtId="0" fontId="5" fillId="0" borderId="0" xfId="0" applyFont="1"/>
    <xf numFmtId="3" fontId="19" fillId="0" borderId="4" xfId="0" applyNumberFormat="1" applyFont="1" applyBorder="1" applyAlignment="1">
      <alignment horizontal="center"/>
    </xf>
    <xf numFmtId="0" fontId="20" fillId="12" borderId="4" xfId="0" applyFont="1" applyFill="1" applyBorder="1" applyAlignment="1">
      <alignment horizontal="center" vertical="top" wrapText="1"/>
    </xf>
    <xf numFmtId="3" fontId="19" fillId="0" borderId="4" xfId="0" applyNumberFormat="1" applyFont="1" applyBorder="1"/>
    <xf numFmtId="3" fontId="19" fillId="11" borderId="4" xfId="0" applyNumberFormat="1" applyFont="1" applyFill="1" applyBorder="1"/>
    <xf numFmtId="0" fontId="23" fillId="0" borderId="0" xfId="0" applyFont="1"/>
    <xf numFmtId="0" fontId="19" fillId="12" borderId="4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3" fontId="19" fillId="0" borderId="4" xfId="0" applyNumberFormat="1" applyFont="1" applyBorder="1" applyAlignment="1">
      <alignment horizontal="center" vertical="top"/>
    </xf>
    <xf numFmtId="3" fontId="20" fillId="0" borderId="4" xfId="0" applyNumberFormat="1" applyFont="1" applyBorder="1" applyAlignment="1">
      <alignment horizontal="center" vertical="top"/>
    </xf>
    <xf numFmtId="3" fontId="20" fillId="0" borderId="0" xfId="0" applyNumberFormat="1" applyFont="1"/>
    <xf numFmtId="3" fontId="20" fillId="11" borderId="0" xfId="0" applyNumberFormat="1" applyFont="1" applyFill="1"/>
    <xf numFmtId="3" fontId="21" fillId="11" borderId="0" xfId="0" applyNumberFormat="1" applyFont="1" applyFill="1"/>
    <xf numFmtId="3" fontId="0" fillId="0" borderId="0" xfId="0" applyNumberFormat="1"/>
    <xf numFmtId="3" fontId="3" fillId="3" borderId="15" xfId="0" applyNumberFormat="1" applyFont="1" applyFill="1" applyBorder="1" applyAlignment="1">
      <alignment vertical="center"/>
    </xf>
    <xf numFmtId="3" fontId="7" fillId="5" borderId="6" xfId="2" applyNumberFormat="1" applyFont="1" applyFill="1" applyBorder="1" applyAlignment="1">
      <alignment vertical="center" wrapText="1"/>
    </xf>
    <xf numFmtId="3" fontId="7" fillId="5" borderId="6" xfId="2" applyNumberFormat="1" applyFont="1" applyFill="1" applyBorder="1" applyAlignment="1">
      <alignment vertical="center"/>
    </xf>
    <xf numFmtId="3" fontId="13" fillId="5" borderId="6" xfId="0" applyNumberFormat="1" applyFont="1" applyFill="1" applyBorder="1" applyAlignment="1">
      <alignment vertical="center" wrapText="1"/>
    </xf>
    <xf numFmtId="3" fontId="8" fillId="5" borderId="6" xfId="0" applyNumberFormat="1" applyFont="1" applyFill="1" applyBorder="1" applyAlignment="1">
      <alignment vertical="center" wrapText="1"/>
    </xf>
    <xf numFmtId="3" fontId="7" fillId="5" borderId="6" xfId="0" applyNumberFormat="1" applyFont="1" applyFill="1" applyBorder="1" applyAlignment="1">
      <alignment vertical="center" wrapText="1"/>
    </xf>
    <xf numFmtId="3" fontId="13" fillId="5" borderId="6" xfId="2" applyNumberFormat="1" applyFont="1" applyFill="1" applyBorder="1" applyAlignment="1">
      <alignment vertical="center" wrapText="1"/>
    </xf>
    <xf numFmtId="3" fontId="8" fillId="5" borderId="6" xfId="2" applyNumberFormat="1" applyFont="1" applyFill="1" applyBorder="1" applyAlignment="1">
      <alignment vertical="center" wrapText="1"/>
    </xf>
    <xf numFmtId="0" fontId="16" fillId="2" borderId="56" xfId="0" applyFont="1" applyFill="1" applyBorder="1"/>
    <xf numFmtId="49" fontId="17" fillId="2" borderId="41" xfId="0" applyNumberFormat="1" applyFont="1" applyFill="1" applyBorder="1" applyAlignment="1">
      <alignment horizontal="left" vertical="center"/>
    </xf>
    <xf numFmtId="3" fontId="17" fillId="2" borderId="41" xfId="0" applyNumberFormat="1" applyFont="1" applyFill="1" applyBorder="1" applyAlignment="1">
      <alignment horizontal="right" vertical="center"/>
    </xf>
    <xf numFmtId="3" fontId="17" fillId="2" borderId="42" xfId="0" applyNumberFormat="1" applyFont="1" applyFill="1" applyBorder="1" applyAlignment="1">
      <alignment horizontal="right" vertical="center"/>
    </xf>
    <xf numFmtId="3" fontId="16" fillId="2" borderId="42" xfId="0" applyNumberFormat="1" applyFont="1" applyFill="1" applyBorder="1" applyAlignment="1">
      <alignment horizontal="right" vertical="center"/>
    </xf>
    <xf numFmtId="3" fontId="10" fillId="2" borderId="56" xfId="0" applyNumberFormat="1" applyFont="1" applyFill="1" applyBorder="1" applyAlignment="1">
      <alignment vertical="center"/>
    </xf>
    <xf numFmtId="3" fontId="7" fillId="5" borderId="6" xfId="2" applyNumberFormat="1" applyFont="1" applyFill="1" applyBorder="1" applyAlignment="1">
      <alignment horizontal="right" vertical="center" wrapText="1"/>
    </xf>
    <xf numFmtId="0" fontId="7" fillId="0" borderId="23" xfId="0" applyFont="1" applyBorder="1" applyAlignment="1">
      <alignment horizontal="center" vertical="center"/>
    </xf>
    <xf numFmtId="3" fontId="16" fillId="3" borderId="25" xfId="0" applyNumberFormat="1" applyFont="1" applyFill="1" applyBorder="1" applyAlignment="1">
      <alignment vertical="center"/>
    </xf>
    <xf numFmtId="3" fontId="8" fillId="5" borderId="28" xfId="2" applyNumberFormat="1" applyFont="1" applyFill="1" applyBorder="1" applyAlignment="1">
      <alignment vertical="center" wrapText="1"/>
    </xf>
    <xf numFmtId="3" fontId="24" fillId="2" borderId="28" xfId="0" applyNumberFormat="1" applyFont="1" applyFill="1" applyBorder="1" applyAlignment="1">
      <alignment vertical="center"/>
    </xf>
    <xf numFmtId="3" fontId="10" fillId="2" borderId="46" xfId="0" applyNumberFormat="1" applyFont="1" applyFill="1" applyBorder="1" applyAlignment="1">
      <alignment vertical="center"/>
    </xf>
    <xf numFmtId="3" fontId="7" fillId="5" borderId="5" xfId="0" applyNumberFormat="1" applyFont="1" applyFill="1" applyBorder="1" applyAlignment="1">
      <alignment vertical="center"/>
    </xf>
    <xf numFmtId="3" fontId="22" fillId="5" borderId="5" xfId="2" applyNumberFormat="1" applyFont="1" applyFill="1" applyBorder="1" applyAlignment="1">
      <alignment vertical="center" wrapText="1"/>
    </xf>
    <xf numFmtId="3" fontId="22" fillId="5" borderId="6" xfId="2" applyNumberFormat="1" applyFont="1" applyFill="1" applyBorder="1" applyAlignment="1">
      <alignment horizontal="right" vertical="center" wrapText="1"/>
    </xf>
    <xf numFmtId="3" fontId="22" fillId="5" borderId="6" xfId="2" applyNumberFormat="1" applyFont="1" applyFill="1" applyBorder="1" applyAlignment="1">
      <alignment vertical="center" wrapText="1"/>
    </xf>
    <xf numFmtId="3" fontId="11" fillId="5" borderId="9" xfId="2" applyNumberFormat="1" applyFont="1" applyFill="1" applyBorder="1" applyAlignment="1">
      <alignment vertical="center"/>
    </xf>
    <xf numFmtId="3" fontId="11" fillId="5" borderId="7" xfId="0" applyNumberFormat="1" applyFont="1" applyFill="1" applyBorder="1" applyAlignment="1">
      <alignment vertical="center"/>
    </xf>
    <xf numFmtId="3" fontId="7" fillId="5" borderId="28" xfId="2" applyNumberFormat="1" applyFont="1" applyFill="1" applyBorder="1" applyAlignment="1">
      <alignment horizontal="right" vertical="center" wrapText="1"/>
    </xf>
    <xf numFmtId="3" fontId="22" fillId="5" borderId="28" xfId="2" applyNumberFormat="1" applyFont="1" applyFill="1" applyBorder="1" applyAlignment="1">
      <alignment vertical="center" wrapText="1"/>
    </xf>
    <xf numFmtId="3" fontId="22" fillId="5" borderId="29" xfId="2" applyNumberFormat="1" applyFont="1" applyFill="1" applyBorder="1" applyAlignment="1">
      <alignment vertical="center" wrapText="1"/>
    </xf>
    <xf numFmtId="3" fontId="22" fillId="5" borderId="6" xfId="2" applyNumberFormat="1" applyFont="1" applyFill="1" applyBorder="1" applyAlignment="1">
      <alignment vertical="center"/>
    </xf>
    <xf numFmtId="3" fontId="22" fillId="5" borderId="5" xfId="0" applyNumberFormat="1" applyFont="1" applyFill="1" applyBorder="1" applyAlignment="1">
      <alignment vertical="center"/>
    </xf>
    <xf numFmtId="3" fontId="7" fillId="5" borderId="50" xfId="2" applyNumberFormat="1" applyFont="1" applyFill="1" applyBorder="1" applyAlignment="1">
      <alignment vertical="center" wrapText="1"/>
    </xf>
    <xf numFmtId="3" fontId="25" fillId="2" borderId="6" xfId="0" applyNumberFormat="1" applyFont="1" applyFill="1" applyBorder="1" applyAlignment="1">
      <alignment horizontal="right" vertical="center"/>
    </xf>
    <xf numFmtId="3" fontId="26" fillId="2" borderId="6" xfId="0" applyNumberFormat="1" applyFont="1" applyFill="1" applyBorder="1" applyAlignment="1">
      <alignment horizontal="right" vertical="center"/>
    </xf>
    <xf numFmtId="3" fontId="25" fillId="2" borderId="58" xfId="0" applyNumberFormat="1" applyFont="1" applyFill="1" applyBorder="1" applyAlignment="1">
      <alignment horizontal="right" vertical="center"/>
    </xf>
    <xf numFmtId="3" fontId="27" fillId="3" borderId="24" xfId="0" applyNumberFormat="1" applyFont="1" applyFill="1" applyBorder="1" applyAlignment="1">
      <alignment horizontal="right" vertical="center"/>
    </xf>
    <xf numFmtId="3" fontId="25" fillId="2" borderId="43" xfId="0" applyNumberFormat="1" applyFont="1" applyFill="1" applyBorder="1" applyAlignment="1">
      <alignment horizontal="right" vertical="center"/>
    </xf>
    <xf numFmtId="3" fontId="25" fillId="2" borderId="28" xfId="0" applyNumberFormat="1" applyFont="1" applyFill="1" applyBorder="1" applyAlignment="1">
      <alignment horizontal="right" vertical="center"/>
    </xf>
    <xf numFmtId="3" fontId="26" fillId="2" borderId="28" xfId="0" applyNumberFormat="1" applyFont="1" applyFill="1" applyBorder="1" applyAlignment="1">
      <alignment horizontal="right" vertical="center"/>
    </xf>
    <xf numFmtId="3" fontId="25" fillId="2" borderId="49" xfId="0" applyNumberFormat="1" applyFont="1" applyFill="1" applyBorder="1" applyAlignment="1">
      <alignment horizontal="right" vertical="center"/>
    </xf>
    <xf numFmtId="3" fontId="27" fillId="3" borderId="53" xfId="0" applyNumberFormat="1" applyFont="1" applyFill="1" applyBorder="1" applyAlignment="1">
      <alignment horizontal="right" vertical="center"/>
    </xf>
    <xf numFmtId="3" fontId="3" fillId="2" borderId="11" xfId="0" applyNumberFormat="1" applyFont="1" applyFill="1" applyBorder="1" applyAlignment="1">
      <alignment vertical="center"/>
    </xf>
    <xf numFmtId="3" fontId="11" fillId="2" borderId="11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vertical="center"/>
    </xf>
    <xf numFmtId="3" fontId="16" fillId="3" borderId="53" xfId="0" applyNumberFormat="1" applyFont="1" applyFill="1" applyBorder="1" applyAlignment="1">
      <alignment vertical="center"/>
    </xf>
    <xf numFmtId="3" fontId="7" fillId="5" borderId="28" xfId="0" applyNumberFormat="1" applyFont="1" applyFill="1" applyBorder="1" applyAlignment="1">
      <alignment vertical="center" wrapText="1"/>
    </xf>
    <xf numFmtId="3" fontId="3" fillId="2" borderId="28" xfId="0" applyNumberFormat="1" applyFont="1" applyFill="1" applyBorder="1" applyAlignment="1">
      <alignment vertical="center"/>
    </xf>
    <xf numFmtId="3" fontId="3" fillId="2" borderId="29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63" xfId="0" applyFont="1" applyBorder="1" applyAlignment="1">
      <alignment horizontal="center" vertical="center" wrapText="1"/>
    </xf>
    <xf numFmtId="0" fontId="6" fillId="13" borderId="39" xfId="0" applyFont="1" applyFill="1" applyBorder="1" applyAlignment="1">
      <alignment horizontal="center" wrapText="1"/>
    </xf>
    <xf numFmtId="0" fontId="6" fillId="13" borderId="40" xfId="0" applyFont="1" applyFill="1" applyBorder="1" applyAlignment="1">
      <alignment horizontal="center" wrapText="1"/>
    </xf>
    <xf numFmtId="0" fontId="6" fillId="13" borderId="20" xfId="0" applyFont="1" applyFill="1" applyBorder="1" applyAlignment="1">
      <alignment horizontal="center" wrapText="1"/>
    </xf>
    <xf numFmtId="49" fontId="3" fillId="4" borderId="0" xfId="0" applyNumberFormat="1" applyFont="1" applyFill="1" applyAlignment="1">
      <alignment horizontal="left"/>
    </xf>
    <xf numFmtId="3" fontId="6" fillId="4" borderId="0" xfId="0" applyNumberFormat="1" applyFont="1" applyFill="1" applyAlignment="1">
      <alignment horizontal="right" vertical="center" wrapText="1"/>
    </xf>
    <xf numFmtId="3" fontId="6" fillId="4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vertical="center"/>
    </xf>
    <xf numFmtId="0" fontId="8" fillId="14" borderId="23" xfId="0" applyFont="1" applyFill="1" applyBorder="1"/>
    <xf numFmtId="0" fontId="7" fillId="14" borderId="33" xfId="0" applyFont="1" applyFill="1" applyBorder="1"/>
    <xf numFmtId="49" fontId="8" fillId="14" borderId="25" xfId="0" applyNumberFormat="1" applyFont="1" applyFill="1" applyBorder="1"/>
    <xf numFmtId="3" fontId="3" fillId="14" borderId="25" xfId="0" applyNumberFormat="1" applyFont="1" applyFill="1" applyBorder="1" applyAlignment="1">
      <alignment horizontal="right" vertical="center"/>
    </xf>
    <xf numFmtId="3" fontId="16" fillId="14" borderId="25" xfId="0" applyNumberFormat="1" applyFont="1" applyFill="1" applyBorder="1" applyAlignment="1">
      <alignment horizontal="right" vertical="center"/>
    </xf>
    <xf numFmtId="3" fontId="16" fillId="14" borderId="23" xfId="0" applyNumberFormat="1" applyFont="1" applyFill="1" applyBorder="1" applyAlignment="1">
      <alignment vertical="center"/>
    </xf>
    <xf numFmtId="3" fontId="16" fillId="14" borderId="16" xfId="0" applyNumberFormat="1" applyFont="1" applyFill="1" applyBorder="1" applyAlignment="1">
      <alignment vertical="center"/>
    </xf>
    <xf numFmtId="3" fontId="16" fillId="14" borderId="24" xfId="0" applyNumberFormat="1" applyFont="1" applyFill="1" applyBorder="1" applyAlignment="1">
      <alignment vertical="center"/>
    </xf>
    <xf numFmtId="3" fontId="3" fillId="14" borderId="23" xfId="0" applyNumberFormat="1" applyFont="1" applyFill="1" applyBorder="1" applyAlignment="1">
      <alignment vertical="center"/>
    </xf>
    <xf numFmtId="3" fontId="16" fillId="14" borderId="53" xfId="0" applyNumberFormat="1" applyFont="1" applyFill="1" applyBorder="1" applyAlignment="1">
      <alignment vertical="center"/>
    </xf>
    <xf numFmtId="3" fontId="16" fillId="14" borderId="26" xfId="0" applyNumberFormat="1" applyFont="1" applyFill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6" fillId="13" borderId="29" xfId="0" applyFont="1" applyFill="1" applyBorder="1" applyAlignment="1">
      <alignment horizontal="left" vertical="top"/>
    </xf>
    <xf numFmtId="0" fontId="22" fillId="13" borderId="9" xfId="0" applyFont="1" applyFill="1" applyBorder="1" applyAlignment="1">
      <alignment vertical="center" wrapText="1"/>
    </xf>
    <xf numFmtId="0" fontId="9" fillId="4" borderId="43" xfId="0" applyFont="1" applyFill="1" applyBorder="1"/>
    <xf numFmtId="3" fontId="6" fillId="4" borderId="36" xfId="0" applyNumberFormat="1" applyFont="1" applyFill="1" applyBorder="1" applyAlignment="1">
      <alignment horizontal="right" vertical="center"/>
    </xf>
    <xf numFmtId="3" fontId="6" fillId="4" borderId="19" xfId="0" applyNumberFormat="1" applyFont="1" applyFill="1" applyBorder="1" applyAlignment="1">
      <alignment horizontal="right" vertical="center" wrapText="1"/>
    </xf>
    <xf numFmtId="3" fontId="6" fillId="4" borderId="37" xfId="0" applyNumberFormat="1" applyFont="1" applyFill="1" applyBorder="1" applyAlignment="1">
      <alignment horizontal="right" vertical="center"/>
    </xf>
    <xf numFmtId="3" fontId="6" fillId="4" borderId="36" xfId="0" applyNumberFormat="1" applyFont="1" applyFill="1" applyBorder="1" applyAlignment="1">
      <alignment vertical="center"/>
    </xf>
    <xf numFmtId="3" fontId="6" fillId="4" borderId="19" xfId="0" applyNumberFormat="1" applyFont="1" applyFill="1" applyBorder="1" applyAlignment="1">
      <alignment vertical="center" wrapText="1"/>
    </xf>
    <xf numFmtId="3" fontId="6" fillId="4" borderId="38" xfId="2" applyNumberFormat="1" applyFont="1" applyFill="1" applyBorder="1" applyAlignment="1">
      <alignment vertical="center" wrapText="1"/>
    </xf>
    <xf numFmtId="3" fontId="7" fillId="4" borderId="37" xfId="2" applyNumberFormat="1" applyFont="1" applyFill="1" applyBorder="1" applyAlignment="1">
      <alignment vertical="center" wrapText="1"/>
    </xf>
    <xf numFmtId="3" fontId="6" fillId="4" borderId="36" xfId="2" applyNumberFormat="1" applyFont="1" applyFill="1" applyBorder="1" applyAlignment="1">
      <alignment vertical="center"/>
    </xf>
    <xf numFmtId="49" fontId="3" fillId="13" borderId="61" xfId="0" applyNumberFormat="1" applyFont="1" applyFill="1" applyBorder="1" applyAlignment="1">
      <alignment horizontal="center"/>
    </xf>
    <xf numFmtId="0" fontId="6" fillId="13" borderId="61" xfId="0" applyFont="1" applyFill="1" applyBorder="1" applyAlignment="1">
      <alignment horizontal="center" wrapText="1"/>
    </xf>
    <xf numFmtId="0" fontId="8" fillId="13" borderId="61" xfId="0" applyFont="1" applyFill="1" applyBorder="1" applyAlignment="1">
      <alignment horizontal="center" wrapText="1"/>
    </xf>
    <xf numFmtId="0" fontId="6" fillId="13" borderId="7" xfId="0" applyFont="1" applyFill="1" applyBorder="1" applyAlignment="1">
      <alignment horizontal="center" wrapText="1"/>
    </xf>
    <xf numFmtId="0" fontId="6" fillId="13" borderId="8" xfId="0" applyFont="1" applyFill="1" applyBorder="1" applyAlignment="1">
      <alignment horizontal="center" wrapText="1"/>
    </xf>
    <xf numFmtId="0" fontId="6" fillId="13" borderId="31" xfId="0" applyFont="1" applyFill="1" applyBorder="1" applyAlignment="1">
      <alignment horizontal="center" wrapText="1"/>
    </xf>
    <xf numFmtId="0" fontId="11" fillId="13" borderId="7" xfId="0" applyFont="1" applyFill="1" applyBorder="1" applyAlignment="1">
      <alignment vertical="center" wrapText="1"/>
    </xf>
    <xf numFmtId="0" fontId="22" fillId="13" borderId="8" xfId="0" applyFont="1" applyFill="1" applyBorder="1" applyAlignment="1">
      <alignment vertical="center" wrapText="1"/>
    </xf>
    <xf numFmtId="0" fontId="22" fillId="13" borderId="61" xfId="0" applyFont="1" applyFill="1" applyBorder="1" applyAlignment="1">
      <alignment vertical="center" wrapText="1"/>
    </xf>
    <xf numFmtId="0" fontId="22" fillId="13" borderId="7" xfId="0" applyFont="1" applyFill="1" applyBorder="1" applyAlignment="1">
      <alignment vertical="center" wrapText="1"/>
    </xf>
    <xf numFmtId="0" fontId="7" fillId="13" borderId="29" xfId="0" applyFont="1" applyFill="1" applyBorder="1" applyAlignment="1">
      <alignment vertical="center" wrapText="1"/>
    </xf>
    <xf numFmtId="49" fontId="3" fillId="13" borderId="17" xfId="0" applyNumberFormat="1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 wrapText="1"/>
    </xf>
    <xf numFmtId="0" fontId="8" fillId="13" borderId="17" xfId="0" applyFont="1" applyFill="1" applyBorder="1" applyAlignment="1">
      <alignment horizontal="center" wrapText="1"/>
    </xf>
    <xf numFmtId="49" fontId="3" fillId="13" borderId="44" xfId="0" applyNumberFormat="1" applyFont="1" applyFill="1" applyBorder="1" applyAlignment="1">
      <alignment horizontal="center"/>
    </xf>
    <xf numFmtId="0" fontId="6" fillId="13" borderId="44" xfId="0" applyFont="1" applyFill="1" applyBorder="1" applyAlignment="1">
      <alignment horizontal="center" wrapText="1"/>
    </xf>
    <xf numFmtId="0" fontId="8" fillId="13" borderId="44" xfId="0" applyFont="1" applyFill="1" applyBorder="1" applyAlignment="1">
      <alignment horizontal="center" wrapText="1"/>
    </xf>
    <xf numFmtId="0" fontId="6" fillId="13" borderId="5" xfId="0" applyFont="1" applyFill="1" applyBorder="1" applyAlignment="1">
      <alignment horizontal="center" wrapText="1"/>
    </xf>
    <xf numFmtId="0" fontId="6" fillId="13" borderId="4" xfId="0" applyFont="1" applyFill="1" applyBorder="1" applyAlignment="1">
      <alignment horizontal="center" wrapText="1"/>
    </xf>
    <xf numFmtId="0" fontId="6" fillId="13" borderId="30" xfId="0" applyFont="1" applyFill="1" applyBorder="1" applyAlignment="1">
      <alignment horizontal="center" wrapText="1"/>
    </xf>
    <xf numFmtId="0" fontId="9" fillId="13" borderId="48" xfId="0" applyFont="1" applyFill="1" applyBorder="1"/>
    <xf numFmtId="0" fontId="6" fillId="13" borderId="28" xfId="0" applyFont="1" applyFill="1" applyBorder="1"/>
    <xf numFmtId="0" fontId="11" fillId="13" borderId="39" xfId="0" applyFont="1" applyFill="1" applyBorder="1" applyAlignment="1">
      <alignment horizontal="right" vertical="center" wrapText="1"/>
    </xf>
    <xf numFmtId="0" fontId="22" fillId="13" borderId="40" xfId="0" applyFont="1" applyFill="1" applyBorder="1" applyAlignment="1">
      <alignment horizontal="right" vertical="center" wrapText="1"/>
    </xf>
    <xf numFmtId="0" fontId="22" fillId="13" borderId="17" xfId="0" applyFont="1" applyFill="1" applyBorder="1" applyAlignment="1">
      <alignment horizontal="right" vertical="center" wrapText="1"/>
    </xf>
    <xf numFmtId="0" fontId="22" fillId="13" borderId="63" xfId="0" applyFont="1" applyFill="1" applyBorder="1" applyAlignment="1">
      <alignment horizontal="right" vertical="center" wrapText="1"/>
    </xf>
    <xf numFmtId="0" fontId="22" fillId="13" borderId="39" xfId="0" applyFont="1" applyFill="1" applyBorder="1" applyAlignment="1">
      <alignment horizontal="right" vertical="center" wrapText="1"/>
    </xf>
    <xf numFmtId="0" fontId="11" fillId="13" borderId="5" xfId="0" applyFont="1" applyFill="1" applyBorder="1" applyAlignment="1">
      <alignment horizontal="right" vertical="center" wrapText="1"/>
    </xf>
    <xf numFmtId="0" fontId="22" fillId="13" borderId="4" xfId="0" applyFont="1" applyFill="1" applyBorder="1" applyAlignment="1">
      <alignment horizontal="right" vertical="center" wrapText="1"/>
    </xf>
    <xf numFmtId="0" fontId="22" fillId="13" borderId="44" xfId="0" applyFont="1" applyFill="1" applyBorder="1" applyAlignment="1">
      <alignment horizontal="right" vertical="center" wrapText="1"/>
    </xf>
    <xf numFmtId="0" fontId="22" fillId="13" borderId="6" xfId="0" applyFont="1" applyFill="1" applyBorder="1" applyAlignment="1">
      <alignment horizontal="right" vertical="center" wrapText="1"/>
    </xf>
    <xf numFmtId="0" fontId="22" fillId="13" borderId="5" xfId="0" applyFont="1" applyFill="1" applyBorder="1" applyAlignment="1">
      <alignment horizontal="right" vertical="center" wrapText="1"/>
    </xf>
    <xf numFmtId="0" fontId="22" fillId="13" borderId="18" xfId="0" applyFont="1" applyFill="1" applyBorder="1" applyAlignment="1">
      <alignment horizontal="right" vertical="center" wrapText="1"/>
    </xf>
    <xf numFmtId="0" fontId="22" fillId="13" borderId="34" xfId="0" applyFont="1" applyFill="1" applyBorder="1" applyAlignment="1">
      <alignment horizontal="right" vertical="center" wrapText="1"/>
    </xf>
    <xf numFmtId="0" fontId="22" fillId="13" borderId="62" xfId="0" applyFont="1" applyFill="1" applyBorder="1" applyAlignment="1">
      <alignment vertical="center" wrapText="1"/>
    </xf>
    <xf numFmtId="3" fontId="7" fillId="13" borderId="21" xfId="0" applyNumberFormat="1" applyFont="1" applyFill="1" applyBorder="1" applyAlignment="1">
      <alignment horizontal="right" vertical="center" wrapText="1"/>
    </xf>
    <xf numFmtId="3" fontId="7" fillId="13" borderId="28" xfId="0" applyNumberFormat="1" applyFont="1" applyFill="1" applyBorder="1" applyAlignment="1">
      <alignment horizontal="right" vertical="center" wrapText="1"/>
    </xf>
    <xf numFmtId="3" fontId="7" fillId="2" borderId="57" xfId="0" applyNumberFormat="1" applyFont="1" applyFill="1" applyBorder="1" applyAlignment="1">
      <alignment vertical="center"/>
    </xf>
    <xf numFmtId="0" fontId="9" fillId="4" borderId="49" xfId="0" applyFont="1" applyFill="1" applyBorder="1"/>
    <xf numFmtId="3" fontId="11" fillId="4" borderId="27" xfId="0" applyNumberFormat="1" applyFont="1" applyFill="1" applyBorder="1" applyAlignment="1">
      <alignment vertical="center" wrapText="1"/>
    </xf>
    <xf numFmtId="3" fontId="11" fillId="4" borderId="14" xfId="0" applyNumberFormat="1" applyFont="1" applyFill="1" applyBorder="1" applyAlignment="1">
      <alignment vertical="center" wrapText="1"/>
    </xf>
    <xf numFmtId="3" fontId="11" fillId="4" borderId="32" xfId="2" applyNumberFormat="1" applyFont="1" applyFill="1" applyBorder="1" applyAlignment="1">
      <alignment vertical="center" wrapText="1"/>
    </xf>
    <xf numFmtId="3" fontId="11" fillId="4" borderId="27" xfId="2" applyNumberFormat="1" applyFont="1" applyFill="1" applyBorder="1" applyAlignment="1">
      <alignment vertical="center" wrapText="1"/>
    </xf>
    <xf numFmtId="3" fontId="22" fillId="5" borderId="9" xfId="2" applyNumberFormat="1" applyFont="1" applyFill="1" applyBorder="1" applyAlignment="1">
      <alignment vertical="center" wrapText="1"/>
    </xf>
    <xf numFmtId="0" fontId="9" fillId="2" borderId="36" xfId="0" applyFont="1" applyFill="1" applyBorder="1"/>
    <xf numFmtId="49" fontId="4" fillId="2" borderId="19" xfId="0" applyNumberFormat="1" applyFont="1" applyFill="1" applyBorder="1" applyAlignment="1">
      <alignment horizontal="left" vertical="center"/>
    </xf>
    <xf numFmtId="3" fontId="3" fillId="2" borderId="19" xfId="0" applyNumberFormat="1" applyFont="1" applyFill="1" applyBorder="1" applyAlignment="1">
      <alignment horizontal="right" vertical="center"/>
    </xf>
    <xf numFmtId="3" fontId="3" fillId="8" borderId="38" xfId="0" applyNumberFormat="1" applyFont="1" applyFill="1" applyBorder="1" applyAlignment="1">
      <alignment horizontal="right" vertical="center"/>
    </xf>
    <xf numFmtId="3" fontId="3" fillId="2" borderId="36" xfId="0" applyNumberFormat="1" applyFont="1" applyFill="1" applyBorder="1" applyAlignment="1">
      <alignment horizontal="right" vertical="center"/>
    </xf>
    <xf numFmtId="3" fontId="3" fillId="2" borderId="38" xfId="0" applyNumberFormat="1" applyFont="1" applyFill="1" applyBorder="1" applyAlignment="1">
      <alignment horizontal="right" vertical="center"/>
    </xf>
    <xf numFmtId="3" fontId="3" fillId="2" borderId="36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vertical="center"/>
    </xf>
    <xf numFmtId="3" fontId="3" fillId="2" borderId="38" xfId="0" applyNumberFormat="1" applyFont="1" applyFill="1" applyBorder="1" applyAlignment="1">
      <alignment vertical="center"/>
    </xf>
    <xf numFmtId="3" fontId="3" fillId="2" borderId="37" xfId="0" applyNumberFormat="1" applyFont="1" applyFill="1" applyBorder="1" applyAlignment="1">
      <alignment vertical="center"/>
    </xf>
    <xf numFmtId="3" fontId="3" fillId="2" borderId="64" xfId="0" applyNumberFormat="1" applyFont="1" applyFill="1" applyBorder="1" applyAlignment="1">
      <alignment vertical="center"/>
    </xf>
    <xf numFmtId="3" fontId="10" fillId="2" borderId="43" xfId="0" applyNumberFormat="1" applyFont="1" applyFill="1" applyBorder="1" applyAlignment="1">
      <alignment vertical="center"/>
    </xf>
    <xf numFmtId="3" fontId="12" fillId="5" borderId="8" xfId="0" applyNumberFormat="1" applyFont="1" applyFill="1" applyBorder="1" applyAlignment="1">
      <alignment horizontal="right" vertical="center" wrapText="1"/>
    </xf>
    <xf numFmtId="3" fontId="12" fillId="5" borderId="8" xfId="0" applyNumberFormat="1" applyFont="1" applyFill="1" applyBorder="1" applyAlignment="1">
      <alignment horizontal="right" vertical="center"/>
    </xf>
    <xf numFmtId="3" fontId="12" fillId="5" borderId="31" xfId="0" applyNumberFormat="1" applyFont="1" applyFill="1" applyBorder="1" applyAlignment="1">
      <alignment horizontal="right" vertical="center"/>
    </xf>
    <xf numFmtId="0" fontId="3" fillId="5" borderId="13" xfId="0" applyFont="1" applyFill="1" applyBorder="1" applyAlignment="1">
      <alignment horizontal="center" vertical="center" wrapText="1"/>
    </xf>
    <xf numFmtId="3" fontId="6" fillId="5" borderId="4" xfId="0" applyNumberFormat="1" applyFont="1" applyFill="1" applyBorder="1" applyAlignment="1">
      <alignment vertical="center" wrapText="1"/>
    </xf>
    <xf numFmtId="3" fontId="6" fillId="5" borderId="4" xfId="2" applyNumberFormat="1" applyFont="1" applyFill="1" applyBorder="1" applyAlignment="1">
      <alignment vertical="center" wrapText="1"/>
    </xf>
    <xf numFmtId="49" fontId="3" fillId="5" borderId="4" xfId="0" applyNumberFormat="1" applyFont="1" applyFill="1" applyBorder="1" applyAlignment="1">
      <alignment horizontal="justify"/>
    </xf>
    <xf numFmtId="3" fontId="3" fillId="5" borderId="4" xfId="0" applyNumberFormat="1" applyFont="1" applyFill="1" applyBorder="1" applyAlignment="1">
      <alignment horizontal="justify" vertical="center" wrapText="1"/>
    </xf>
    <xf numFmtId="3" fontId="11" fillId="5" borderId="4" xfId="0" applyNumberFormat="1" applyFont="1" applyFill="1" applyBorder="1" applyAlignment="1">
      <alignment vertical="center" wrapText="1"/>
    </xf>
    <xf numFmtId="3" fontId="22" fillId="5" borderId="4" xfId="2" applyNumberFormat="1" applyFont="1" applyFill="1" applyBorder="1" applyAlignment="1">
      <alignment vertical="center" wrapText="1"/>
    </xf>
    <xf numFmtId="3" fontId="6" fillId="5" borderId="4" xfId="2" applyNumberFormat="1" applyFont="1" applyFill="1" applyBorder="1" applyAlignment="1">
      <alignment vertical="center"/>
    </xf>
    <xf numFmtId="49" fontId="11" fillId="5" borderId="4" xfId="0" applyNumberFormat="1" applyFont="1" applyFill="1" applyBorder="1" applyAlignment="1">
      <alignment horizontal="justify"/>
    </xf>
    <xf numFmtId="3" fontId="12" fillId="5" borderId="4" xfId="0" applyNumberFormat="1" applyFont="1" applyFill="1" applyBorder="1" applyAlignment="1">
      <alignment vertical="center" wrapText="1"/>
    </xf>
    <xf numFmtId="3" fontId="11" fillId="5" borderId="4" xfId="2" applyNumberFormat="1" applyFont="1" applyFill="1" applyBorder="1" applyAlignment="1">
      <alignment vertical="center" wrapText="1"/>
    </xf>
    <xf numFmtId="3" fontId="12" fillId="5" borderId="4" xfId="2" applyNumberFormat="1" applyFont="1" applyFill="1" applyBorder="1" applyAlignment="1">
      <alignment vertical="center"/>
    </xf>
    <xf numFmtId="3" fontId="22" fillId="5" borderId="4" xfId="2" applyNumberFormat="1" applyFont="1" applyFill="1" applyBorder="1" applyAlignment="1">
      <alignment vertical="center"/>
    </xf>
    <xf numFmtId="3" fontId="22" fillId="5" borderId="4" xfId="2" applyNumberFormat="1" applyFont="1" applyFill="1" applyBorder="1" applyAlignment="1">
      <alignment horizontal="right" vertical="center" wrapText="1"/>
    </xf>
    <xf numFmtId="49" fontId="11" fillId="5" borderId="4" xfId="0" applyNumberFormat="1" applyFont="1" applyFill="1" applyBorder="1" applyAlignment="1">
      <alignment horizontal="left"/>
    </xf>
    <xf numFmtId="3" fontId="12" fillId="5" borderId="4" xfId="0" applyNumberFormat="1" applyFont="1" applyFill="1" applyBorder="1" applyAlignment="1">
      <alignment horizontal="right" vertical="center" wrapText="1"/>
    </xf>
    <xf numFmtId="3" fontId="12" fillId="5" borderId="4" xfId="0" applyNumberFormat="1" applyFont="1" applyFill="1" applyBorder="1" applyAlignment="1">
      <alignment horizontal="right" vertical="center"/>
    </xf>
    <xf numFmtId="49" fontId="3" fillId="5" borderId="51" xfId="0" applyNumberFormat="1" applyFont="1" applyFill="1" applyBorder="1" applyAlignment="1">
      <alignment horizontal="left"/>
    </xf>
    <xf numFmtId="3" fontId="7" fillId="5" borderId="51" xfId="2" applyNumberFormat="1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justify"/>
    </xf>
    <xf numFmtId="0" fontId="11" fillId="5" borderId="5" xfId="0" applyFont="1" applyFill="1" applyBorder="1" applyAlignment="1">
      <alignment horizontal="justify"/>
    </xf>
    <xf numFmtId="0" fontId="3" fillId="5" borderId="5" xfId="0" applyFont="1" applyFill="1" applyBorder="1" applyAlignment="1">
      <alignment horizontal="justify"/>
    </xf>
    <xf numFmtId="0" fontId="3" fillId="5" borderId="5" xfId="0" applyFont="1" applyFill="1" applyBorder="1" applyAlignment="1">
      <alignment horizontal="justify" wrapText="1"/>
    </xf>
    <xf numFmtId="0" fontId="4" fillId="9" borderId="5" xfId="0" applyFont="1" applyFill="1" applyBorder="1" applyAlignment="1">
      <alignment wrapText="1"/>
    </xf>
    <xf numFmtId="0" fontId="3" fillId="5" borderId="7" xfId="0" applyFont="1" applyFill="1" applyBorder="1" applyAlignment="1">
      <alignment horizontal="justify" wrapText="1"/>
    </xf>
    <xf numFmtId="49" fontId="3" fillId="5" borderId="8" xfId="0" applyNumberFormat="1" applyFont="1" applyFill="1" applyBorder="1" applyAlignment="1">
      <alignment horizontal="justify"/>
    </xf>
    <xf numFmtId="3" fontId="11" fillId="5" borderId="8" xfId="2" applyNumberFormat="1" applyFont="1" applyFill="1" applyBorder="1" applyAlignment="1">
      <alignment vertical="center"/>
    </xf>
    <xf numFmtId="0" fontId="3" fillId="5" borderId="50" xfId="0" applyFont="1" applyFill="1" applyBorder="1" applyAlignment="1">
      <alignment horizontal="justify" wrapText="1"/>
    </xf>
    <xf numFmtId="49" fontId="3" fillId="5" borderId="51" xfId="0" applyNumberFormat="1" applyFont="1" applyFill="1" applyBorder="1" applyAlignment="1">
      <alignment horizontal="justify"/>
    </xf>
    <xf numFmtId="3" fontId="6" fillId="5" borderId="51" xfId="0" applyNumberFormat="1" applyFont="1" applyFill="1" applyBorder="1" applyAlignment="1">
      <alignment horizontal="justify" vertical="center" wrapText="1"/>
    </xf>
    <xf numFmtId="3" fontId="6" fillId="5" borderId="51" xfId="0" applyNumberFormat="1" applyFont="1" applyFill="1" applyBorder="1" applyAlignment="1">
      <alignment horizontal="justify" vertical="center"/>
    </xf>
    <xf numFmtId="3" fontId="11" fillId="5" borderId="51" xfId="0" applyNumberFormat="1" applyFont="1" applyFill="1" applyBorder="1" applyAlignment="1">
      <alignment vertical="center"/>
    </xf>
    <xf numFmtId="3" fontId="22" fillId="5" borderId="51" xfId="2" applyNumberFormat="1" applyFont="1" applyFill="1" applyBorder="1" applyAlignment="1">
      <alignment horizontal="right" vertical="center" wrapText="1"/>
    </xf>
    <xf numFmtId="0" fontId="11" fillId="5" borderId="5" xfId="0" applyFont="1" applyFill="1" applyBorder="1" applyAlignment="1">
      <alignment horizontal="left" wrapText="1" indent="3"/>
    </xf>
    <xf numFmtId="49" fontId="11" fillId="5" borderId="8" xfId="0" applyNumberFormat="1" applyFont="1" applyFill="1" applyBorder="1" applyAlignment="1">
      <alignment horizontal="left"/>
    </xf>
    <xf numFmtId="0" fontId="3" fillId="5" borderId="7" xfId="0" applyFont="1" applyFill="1" applyBorder="1" applyAlignment="1">
      <alignment vertical="top" wrapText="1"/>
    </xf>
    <xf numFmtId="3" fontId="22" fillId="5" borderId="8" xfId="0" applyNumberFormat="1" applyFont="1" applyFill="1" applyBorder="1" applyAlignment="1">
      <alignment vertical="center"/>
    </xf>
    <xf numFmtId="3" fontId="22" fillId="5" borderId="8" xfId="2" applyNumberFormat="1" applyFont="1" applyFill="1" applyBorder="1" applyAlignment="1">
      <alignment vertical="center"/>
    </xf>
    <xf numFmtId="0" fontId="8" fillId="0" borderId="17" xfId="0" applyFont="1" applyBorder="1" applyAlignment="1">
      <alignment horizontal="center" wrapText="1"/>
    </xf>
    <xf numFmtId="3" fontId="3" fillId="5" borderId="30" xfId="0" applyNumberFormat="1" applyFont="1" applyFill="1" applyBorder="1" applyAlignment="1">
      <alignment horizontal="justify" vertical="center" wrapText="1"/>
    </xf>
    <xf numFmtId="3" fontId="6" fillId="5" borderId="30" xfId="0" applyNumberFormat="1" applyFont="1" applyFill="1" applyBorder="1" applyAlignment="1">
      <alignment horizontal="justify" vertical="center"/>
    </xf>
    <xf numFmtId="3" fontId="12" fillId="5" borderId="30" xfId="0" applyNumberFormat="1" applyFont="1" applyFill="1" applyBorder="1" applyAlignment="1">
      <alignment horizontal="justify" vertical="center"/>
    </xf>
    <xf numFmtId="3" fontId="6" fillId="5" borderId="31" xfId="0" applyNumberFormat="1" applyFont="1" applyFill="1" applyBorder="1" applyAlignment="1">
      <alignment horizontal="justify" vertical="center"/>
    </xf>
    <xf numFmtId="3" fontId="6" fillId="5" borderId="54" xfId="0" applyNumberFormat="1" applyFont="1" applyFill="1" applyBorder="1" applyAlignment="1">
      <alignment horizontal="justify" vertical="center"/>
    </xf>
    <xf numFmtId="3" fontId="12" fillId="5" borderId="30" xfId="0" applyNumberFormat="1" applyFont="1" applyFill="1" applyBorder="1" applyAlignment="1">
      <alignment horizontal="right" vertical="center"/>
    </xf>
    <xf numFmtId="3" fontId="11" fillId="4" borderId="58" xfId="2" applyNumberFormat="1" applyFont="1" applyFill="1" applyBorder="1" applyAlignment="1">
      <alignment vertical="center" wrapText="1"/>
    </xf>
    <xf numFmtId="3" fontId="11" fillId="5" borderId="5" xfId="0" applyNumberFormat="1" applyFont="1" applyFill="1" applyBorder="1" applyAlignment="1">
      <alignment vertical="center" wrapText="1"/>
    </xf>
    <xf numFmtId="3" fontId="11" fillId="5" borderId="50" xfId="0" applyNumberFormat="1" applyFont="1" applyFill="1" applyBorder="1" applyAlignment="1">
      <alignment vertical="center"/>
    </xf>
    <xf numFmtId="3" fontId="22" fillId="5" borderId="52" xfId="2" applyNumberFormat="1" applyFont="1" applyFill="1" applyBorder="1" applyAlignment="1">
      <alignment horizontal="right" vertical="center" wrapText="1"/>
    </xf>
    <xf numFmtId="3" fontId="22" fillId="5" borderId="7" xfId="0" applyNumberFormat="1" applyFont="1" applyFill="1" applyBorder="1" applyAlignment="1">
      <alignment vertical="center"/>
    </xf>
    <xf numFmtId="3" fontId="22" fillId="5" borderId="9" xfId="2" applyNumberFormat="1" applyFont="1" applyFill="1" applyBorder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3" fontId="6" fillId="5" borderId="6" xfId="0" applyNumberFormat="1" applyFont="1" applyFill="1" applyBorder="1" applyAlignment="1">
      <alignment vertical="center"/>
    </xf>
    <xf numFmtId="3" fontId="22" fillId="5" borderId="5" xfId="2" applyNumberFormat="1" applyFont="1" applyFill="1" applyBorder="1" applyAlignment="1">
      <alignment horizontal="right" vertical="center" wrapText="1"/>
    </xf>
    <xf numFmtId="3" fontId="7" fillId="5" borderId="9" xfId="2" applyNumberFormat="1" applyFont="1" applyFill="1" applyBorder="1" applyAlignment="1">
      <alignment vertical="center" wrapText="1"/>
    </xf>
    <xf numFmtId="3" fontId="22" fillId="5" borderId="50" xfId="2" applyNumberFormat="1" applyFont="1" applyFill="1" applyBorder="1" applyAlignment="1">
      <alignment horizontal="right" vertical="center" wrapText="1"/>
    </xf>
    <xf numFmtId="3" fontId="14" fillId="5" borderId="5" xfId="0" applyNumberFormat="1" applyFont="1" applyFill="1" applyBorder="1" applyAlignment="1">
      <alignment vertical="center"/>
    </xf>
    <xf numFmtId="3" fontId="7" fillId="13" borderId="18" xfId="0" applyNumberFormat="1" applyFont="1" applyFill="1" applyBorder="1" applyAlignment="1">
      <alignment horizontal="right" vertical="center" wrapText="1"/>
    </xf>
    <xf numFmtId="3" fontId="7" fillId="13" borderId="34" xfId="0" applyNumberFormat="1" applyFont="1" applyFill="1" applyBorder="1" applyAlignment="1">
      <alignment horizontal="right" vertical="center" wrapText="1"/>
    </xf>
    <xf numFmtId="0" fontId="7" fillId="13" borderId="62" xfId="0" applyFont="1" applyFill="1" applyBorder="1" applyAlignment="1">
      <alignment vertical="center" wrapText="1"/>
    </xf>
    <xf numFmtId="3" fontId="7" fillId="4" borderId="5" xfId="2" applyNumberFormat="1" applyFont="1" applyFill="1" applyBorder="1" applyAlignment="1">
      <alignment vertical="center" wrapText="1"/>
    </xf>
    <xf numFmtId="3" fontId="7" fillId="5" borderId="5" xfId="2" applyNumberFormat="1" applyFont="1" applyFill="1" applyBorder="1" applyAlignment="1">
      <alignment vertical="center"/>
    </xf>
    <xf numFmtId="3" fontId="14" fillId="5" borderId="5" xfId="0" applyNumberFormat="1" applyFont="1" applyFill="1" applyBorder="1" applyAlignment="1">
      <alignment vertical="center" wrapText="1"/>
    </xf>
    <xf numFmtId="3" fontId="7" fillId="5" borderId="5" xfId="0" applyNumberFormat="1" applyFont="1" applyFill="1" applyBorder="1" applyAlignment="1">
      <alignment vertical="center" wrapText="1"/>
    </xf>
    <xf numFmtId="3" fontId="7" fillId="5" borderId="5" xfId="2" applyNumberFormat="1" applyFont="1" applyFill="1" applyBorder="1" applyAlignment="1">
      <alignment vertical="center" wrapText="1"/>
    </xf>
    <xf numFmtId="3" fontId="14" fillId="5" borderId="5" xfId="2" applyNumberFormat="1" applyFont="1" applyFill="1" applyBorder="1" applyAlignment="1">
      <alignment vertical="center" wrapText="1"/>
    </xf>
    <xf numFmtId="3" fontId="22" fillId="5" borderId="7" xfId="2" applyNumberFormat="1" applyFont="1" applyFill="1" applyBorder="1" applyAlignment="1">
      <alignment vertical="center" wrapText="1"/>
    </xf>
    <xf numFmtId="3" fontId="7" fillId="4" borderId="55" xfId="2" applyNumberFormat="1" applyFont="1" applyFill="1" applyBorder="1" applyAlignment="1">
      <alignment vertical="center" wrapText="1"/>
    </xf>
    <xf numFmtId="3" fontId="7" fillId="4" borderId="34" xfId="2" applyNumberFormat="1" applyFont="1" applyFill="1" applyBorder="1" applyAlignment="1">
      <alignment vertical="center" wrapText="1"/>
    </xf>
    <xf numFmtId="3" fontId="6" fillId="5" borderId="34" xfId="2" applyNumberFormat="1" applyFont="1" applyFill="1" applyBorder="1" applyAlignment="1">
      <alignment vertical="center"/>
    </xf>
    <xf numFmtId="3" fontId="8" fillId="5" borderId="34" xfId="2" applyNumberFormat="1" applyFont="1" applyFill="1" applyBorder="1" applyAlignment="1">
      <alignment vertical="center" wrapText="1"/>
    </xf>
    <xf numFmtId="3" fontId="7" fillId="5" borderId="34" xfId="2" applyNumberFormat="1" applyFont="1" applyFill="1" applyBorder="1" applyAlignment="1">
      <alignment horizontal="right" vertical="center" wrapText="1"/>
    </xf>
    <xf numFmtId="3" fontId="22" fillId="5" borderId="34" xfId="2" applyNumberFormat="1" applyFont="1" applyFill="1" applyBorder="1" applyAlignment="1">
      <alignment vertical="center" wrapText="1"/>
    </xf>
    <xf numFmtId="3" fontId="22" fillId="5" borderId="62" xfId="2" applyNumberFormat="1" applyFont="1" applyFill="1" applyBorder="1" applyAlignment="1">
      <alignment vertical="center" wrapText="1"/>
    </xf>
    <xf numFmtId="3" fontId="7" fillId="5" borderId="28" xfId="2" applyNumberFormat="1" applyFont="1" applyFill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0" fontId="28" fillId="0" borderId="0" xfId="0" applyFont="1"/>
    <xf numFmtId="3" fontId="7" fillId="4" borderId="38" xfId="2" applyNumberFormat="1" applyFont="1" applyFill="1" applyBorder="1" applyAlignment="1">
      <alignment vertical="center" wrapText="1"/>
    </xf>
    <xf numFmtId="3" fontId="7" fillId="4" borderId="30" xfId="2" applyNumberFormat="1" applyFont="1" applyFill="1" applyBorder="1" applyAlignment="1">
      <alignment vertical="center" wrapText="1"/>
    </xf>
    <xf numFmtId="3" fontId="7" fillId="4" borderId="30" xfId="2" applyNumberFormat="1" applyFont="1" applyFill="1" applyBorder="1" applyAlignment="1">
      <alignment horizontal="right" vertical="center" wrapText="1"/>
    </xf>
    <xf numFmtId="3" fontId="7" fillId="4" borderId="32" xfId="2" applyNumberFormat="1" applyFont="1" applyFill="1" applyBorder="1" applyAlignment="1">
      <alignment vertical="center" wrapText="1"/>
    </xf>
    <xf numFmtId="0" fontId="22" fillId="13" borderId="27" xfId="0" applyFont="1" applyFill="1" applyBorder="1" applyAlignment="1">
      <alignment vertical="center" wrapText="1"/>
    </xf>
    <xf numFmtId="0" fontId="22" fillId="13" borderId="58" xfId="0" applyFont="1" applyFill="1" applyBorder="1" applyAlignment="1">
      <alignment vertical="center" wrapText="1"/>
    </xf>
    <xf numFmtId="3" fontId="7" fillId="5" borderId="36" xfId="2" applyNumberFormat="1" applyFont="1" applyFill="1" applyBorder="1" applyAlignment="1">
      <alignment vertical="center" wrapText="1"/>
    </xf>
    <xf numFmtId="0" fontId="0" fillId="0" borderId="53" xfId="0" applyBorder="1"/>
    <xf numFmtId="3" fontId="7" fillId="4" borderId="50" xfId="2" applyNumberFormat="1" applyFont="1" applyFill="1" applyBorder="1" applyAlignment="1">
      <alignment vertical="center" wrapText="1"/>
    </xf>
    <xf numFmtId="3" fontId="7" fillId="4" borderId="52" xfId="2" applyNumberFormat="1" applyFont="1" applyFill="1" applyBorder="1" applyAlignment="1">
      <alignment vertical="center" wrapText="1"/>
    </xf>
    <xf numFmtId="3" fontId="22" fillId="4" borderId="5" xfId="2" applyNumberFormat="1" applyFont="1" applyFill="1" applyBorder="1" applyAlignment="1">
      <alignment vertical="center" wrapText="1"/>
    </xf>
    <xf numFmtId="3" fontId="7" fillId="4" borderId="7" xfId="2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42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3" fillId="13" borderId="21" xfId="0" applyFont="1" applyFill="1" applyBorder="1" applyAlignment="1">
      <alignment horizontal="center" vertical="center" wrapText="1"/>
    </xf>
    <xf numFmtId="0" fontId="3" fillId="13" borderId="46" xfId="0" applyFont="1" applyFill="1" applyBorder="1" applyAlignment="1">
      <alignment horizontal="center" vertical="center" wrapText="1"/>
    </xf>
    <xf numFmtId="0" fontId="3" fillId="13" borderId="22" xfId="0" applyFont="1" applyFill="1" applyBorder="1" applyAlignment="1">
      <alignment horizontal="center" vertical="center" wrapText="1"/>
    </xf>
    <xf numFmtId="0" fontId="19" fillId="10" borderId="6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19" fillId="10" borderId="30" xfId="0" applyNumberFormat="1" applyFont="1" applyFill="1" applyBorder="1" applyAlignment="1">
      <alignment horizontal="center" vertical="center"/>
    </xf>
    <xf numFmtId="4" fontId="19" fillId="10" borderId="4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3" fontId="21" fillId="11" borderId="0" xfId="0" applyNumberFormat="1" applyFont="1" applyFill="1" applyAlignment="1">
      <alignment horizontal="right"/>
    </xf>
    <xf numFmtId="0" fontId="19" fillId="0" borderId="0" xfId="0" applyFont="1" applyAlignment="1">
      <alignment horizontal="left" vertical="top" wrapText="1"/>
    </xf>
    <xf numFmtId="3" fontId="7" fillId="4" borderId="35" xfId="2" applyNumberFormat="1" applyFont="1" applyFill="1" applyBorder="1" applyAlignment="1">
      <alignment vertical="center" wrapText="1"/>
    </xf>
    <xf numFmtId="3" fontId="7" fillId="4" borderId="58" xfId="2" applyNumberFormat="1" applyFont="1" applyFill="1" applyBorder="1" applyAlignment="1">
      <alignment vertical="center" wrapText="1"/>
    </xf>
    <xf numFmtId="3" fontId="7" fillId="4" borderId="9" xfId="2" applyNumberFormat="1" applyFont="1" applyFill="1" applyBorder="1" applyAlignment="1">
      <alignment vertical="center" wrapText="1"/>
    </xf>
    <xf numFmtId="3" fontId="7" fillId="4" borderId="65" xfId="2" applyNumberFormat="1" applyFont="1" applyFill="1" applyBorder="1" applyAlignment="1">
      <alignment vertical="center" wrapText="1"/>
    </xf>
    <xf numFmtId="3" fontId="7" fillId="4" borderId="27" xfId="2" applyNumberFormat="1" applyFont="1" applyFill="1" applyBorder="1" applyAlignment="1">
      <alignment vertical="center" wrapText="1"/>
    </xf>
    <xf numFmtId="3" fontId="7" fillId="5" borderId="52" xfId="2" applyNumberFormat="1" applyFont="1" applyFill="1" applyBorder="1" applyAlignment="1">
      <alignment vertical="center" wrapText="1"/>
    </xf>
    <xf numFmtId="3" fontId="7" fillId="5" borderId="37" xfId="2" applyNumberFormat="1" applyFont="1" applyFill="1" applyBorder="1" applyAlignment="1">
      <alignment vertical="center" wrapText="1"/>
    </xf>
    <xf numFmtId="3" fontId="7" fillId="5" borderId="48" xfId="2" applyNumberFormat="1" applyFont="1" applyFill="1" applyBorder="1" applyAlignment="1">
      <alignment vertical="center" wrapText="1"/>
    </xf>
    <xf numFmtId="3" fontId="7" fillId="5" borderId="59" xfId="2" applyNumberFormat="1" applyFont="1" applyFill="1" applyBorder="1" applyAlignment="1">
      <alignment vertical="center" wrapText="1"/>
    </xf>
    <xf numFmtId="3" fontId="7" fillId="5" borderId="6" xfId="0" applyNumberFormat="1" applyFont="1" applyFill="1" applyBorder="1" applyAlignment="1">
      <alignment vertical="center"/>
    </xf>
    <xf numFmtId="3" fontId="7" fillId="5" borderId="52" xfId="2" applyNumberFormat="1" applyFont="1" applyFill="1" applyBorder="1" applyAlignment="1">
      <alignment horizontal="right" vertical="center" wrapText="1"/>
    </xf>
    <xf numFmtId="3" fontId="14" fillId="5" borderId="6" xfId="2" applyNumberFormat="1" applyFont="1" applyFill="1" applyBorder="1" applyAlignment="1">
      <alignment vertical="center" wrapText="1"/>
    </xf>
    <xf numFmtId="3" fontId="14" fillId="5" borderId="28" xfId="2" applyNumberFormat="1" applyFont="1" applyFill="1" applyBorder="1" applyAlignment="1">
      <alignment vertical="center" wrapText="1"/>
    </xf>
    <xf numFmtId="3" fontId="14" fillId="5" borderId="34" xfId="2" applyNumberFormat="1" applyFont="1" applyFill="1" applyBorder="1" applyAlignment="1">
      <alignment vertical="center" wrapText="1"/>
    </xf>
    <xf numFmtId="0" fontId="7" fillId="5" borderId="50" xfId="0" applyFont="1" applyFill="1" applyBorder="1"/>
  </cellXfs>
  <cellStyles count="3">
    <cellStyle name="Comma" xfId="2" builtinId="3"/>
    <cellStyle name="Normal" xfId="0" builtinId="0"/>
    <cellStyle name="Normal 17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4"/>
  <sheetViews>
    <sheetView zoomScale="70" zoomScaleNormal="70" workbookViewId="0">
      <selection activeCell="B11" sqref="B11"/>
    </sheetView>
  </sheetViews>
  <sheetFormatPr defaultRowHeight="14.5" x14ac:dyDescent="0.35"/>
  <cols>
    <col min="1" max="1" width="18" style="1" customWidth="1"/>
    <col min="2" max="2" width="79.453125" style="1" customWidth="1"/>
    <col min="3" max="3" width="19.90625" style="94" hidden="1" customWidth="1"/>
    <col min="4" max="4" width="10.90625" style="1" hidden="1" customWidth="1"/>
    <col min="5" max="5" width="10" style="1" hidden="1" customWidth="1"/>
    <col min="6" max="6" width="10.54296875" style="1" hidden="1" customWidth="1"/>
    <col min="7" max="8" width="10.08984375" style="1" hidden="1" customWidth="1"/>
    <col min="9" max="9" width="10" style="1" hidden="1" customWidth="1"/>
    <col min="10" max="11" width="10.08984375" style="1" hidden="1" customWidth="1"/>
    <col min="12" max="12" width="10.90625" style="1" hidden="1" customWidth="1"/>
    <col min="13" max="13" width="13.54296875" style="1" customWidth="1"/>
    <col min="14" max="14" width="12.453125" style="1" customWidth="1"/>
    <col min="15" max="16" width="13.54296875" style="96" customWidth="1"/>
    <col min="17" max="17" width="13.453125" style="1" customWidth="1"/>
    <col min="18" max="18" width="13.54296875" style="96" customWidth="1"/>
    <col min="19" max="19" width="13.90625" style="96" customWidth="1"/>
    <col min="20" max="22" width="13.6328125" style="96" customWidth="1"/>
    <col min="24" max="24" width="11" bestFit="1" customWidth="1"/>
    <col min="25" max="25" width="9.90625" bestFit="1" customWidth="1"/>
    <col min="26" max="26" width="17.08984375" customWidth="1"/>
    <col min="27" max="27" width="12.90625" customWidth="1"/>
  </cols>
  <sheetData>
    <row r="1" spans="1:26" ht="15" thickBot="1" x14ac:dyDescent="0.4">
      <c r="A1" s="452"/>
      <c r="B1" s="2"/>
      <c r="C1" s="454"/>
      <c r="D1" s="456">
        <v>2021</v>
      </c>
      <c r="E1" s="457"/>
      <c r="F1" s="449">
        <v>2022</v>
      </c>
      <c r="G1" s="450"/>
      <c r="H1" s="451"/>
      <c r="I1" s="456">
        <v>2023</v>
      </c>
      <c r="J1" s="458"/>
      <c r="K1" s="458"/>
      <c r="L1" s="457"/>
      <c r="M1" s="449">
        <v>2024</v>
      </c>
      <c r="N1" s="450"/>
      <c r="O1" s="450"/>
      <c r="P1" s="451"/>
      <c r="Q1" s="447">
        <v>2025</v>
      </c>
      <c r="R1" s="448"/>
      <c r="S1" s="437">
        <v>2026</v>
      </c>
      <c r="T1" s="438"/>
      <c r="U1" s="224">
        <v>2027</v>
      </c>
      <c r="V1" s="3">
        <v>2028</v>
      </c>
    </row>
    <row r="2" spans="1:26" ht="76.5" thickBot="1" x14ac:dyDescent="0.4">
      <c r="A2" s="453"/>
      <c r="B2" s="4"/>
      <c r="C2" s="455"/>
      <c r="D2" s="5" t="s">
        <v>0</v>
      </c>
      <c r="E2" s="6" t="s">
        <v>1</v>
      </c>
      <c r="F2" s="7" t="s">
        <v>2</v>
      </c>
      <c r="G2" s="6" t="s">
        <v>1</v>
      </c>
      <c r="H2" s="257" t="s">
        <v>3</v>
      </c>
      <c r="I2" s="8" t="s">
        <v>2</v>
      </c>
      <c r="J2" s="9" t="s">
        <v>4</v>
      </c>
      <c r="K2" s="9" t="s">
        <v>5</v>
      </c>
      <c r="L2" s="386" t="s">
        <v>6</v>
      </c>
      <c r="M2" s="10" t="s">
        <v>2</v>
      </c>
      <c r="N2" s="11" t="s">
        <v>5</v>
      </c>
      <c r="O2" s="154" t="s">
        <v>7</v>
      </c>
      <c r="P2" s="258" t="s">
        <v>8</v>
      </c>
      <c r="Q2" s="162" t="s">
        <v>7</v>
      </c>
      <c r="R2" s="399" t="s">
        <v>9</v>
      </c>
      <c r="S2" s="162" t="str">
        <f>Q2</f>
        <v>saskaņā ar 2023. gada konceptuālo ziņojumu</v>
      </c>
      <c r="T2" s="258" t="s">
        <v>9</v>
      </c>
      <c r="U2" s="277" t="s">
        <v>9</v>
      </c>
      <c r="V2" s="399" t="s">
        <v>9</v>
      </c>
    </row>
    <row r="3" spans="1:26" x14ac:dyDescent="0.35">
      <c r="A3" s="459" t="s">
        <v>10</v>
      </c>
      <c r="B3" s="309" t="s">
        <v>11</v>
      </c>
      <c r="C3" s="300"/>
      <c r="D3" s="301"/>
      <c r="E3" s="301"/>
      <c r="F3" s="301"/>
      <c r="G3" s="301"/>
      <c r="H3" s="302"/>
      <c r="I3" s="259"/>
      <c r="J3" s="260"/>
      <c r="K3" s="261"/>
      <c r="L3" s="302"/>
      <c r="M3" s="311">
        <v>0</v>
      </c>
      <c r="N3" s="312">
        <v>0</v>
      </c>
      <c r="O3" s="313">
        <v>0</v>
      </c>
      <c r="P3" s="314">
        <v>0</v>
      </c>
      <c r="Q3" s="315">
        <v>0</v>
      </c>
      <c r="R3" s="321">
        <v>0</v>
      </c>
      <c r="S3" s="315">
        <v>0</v>
      </c>
      <c r="T3" s="314">
        <v>0</v>
      </c>
      <c r="U3" s="324">
        <f>U4+U5</f>
        <v>12068480</v>
      </c>
      <c r="V3" s="405">
        <f>V4+V5</f>
        <v>8852480</v>
      </c>
    </row>
    <row r="4" spans="1:26" x14ac:dyDescent="0.35">
      <c r="A4" s="460"/>
      <c r="B4" s="310" t="s">
        <v>12</v>
      </c>
      <c r="C4" s="303"/>
      <c r="D4" s="304"/>
      <c r="E4" s="304"/>
      <c r="F4" s="304"/>
      <c r="G4" s="304"/>
      <c r="H4" s="305"/>
      <c r="I4" s="306"/>
      <c r="J4" s="307"/>
      <c r="K4" s="308"/>
      <c r="L4" s="305"/>
      <c r="M4" s="316">
        <v>0</v>
      </c>
      <c r="N4" s="317">
        <v>0</v>
      </c>
      <c r="O4" s="318">
        <v>0</v>
      </c>
      <c r="P4" s="319">
        <v>0</v>
      </c>
      <c r="Q4" s="320">
        <v>0</v>
      </c>
      <c r="R4" s="322">
        <v>0</v>
      </c>
      <c r="S4" s="320">
        <v>0</v>
      </c>
      <c r="T4" s="319">
        <v>0</v>
      </c>
      <c r="U4" s="325">
        <v>5308160</v>
      </c>
      <c r="V4" s="406">
        <v>5308160</v>
      </c>
    </row>
    <row r="5" spans="1:26" ht="15" thickBot="1" x14ac:dyDescent="0.4">
      <c r="A5" s="461"/>
      <c r="B5" s="278" t="s">
        <v>13</v>
      </c>
      <c r="C5" s="289"/>
      <c r="D5" s="290"/>
      <c r="E5" s="290"/>
      <c r="F5" s="290"/>
      <c r="G5" s="290"/>
      <c r="H5" s="291"/>
      <c r="I5" s="292"/>
      <c r="J5" s="293"/>
      <c r="K5" s="294"/>
      <c r="L5" s="291"/>
      <c r="M5" s="295">
        <v>0</v>
      </c>
      <c r="N5" s="296">
        <v>0</v>
      </c>
      <c r="O5" s="297">
        <v>0</v>
      </c>
      <c r="P5" s="279">
        <v>0</v>
      </c>
      <c r="Q5" s="298">
        <v>0</v>
      </c>
      <c r="R5" s="323">
        <v>0</v>
      </c>
      <c r="S5" s="429">
        <v>0</v>
      </c>
      <c r="T5" s="430">
        <v>0</v>
      </c>
      <c r="U5" s="299">
        <v>6760320</v>
      </c>
      <c r="V5" s="407">
        <v>3544320</v>
      </c>
    </row>
    <row r="6" spans="1:26" x14ac:dyDescent="0.35">
      <c r="A6" s="439" t="s">
        <v>14</v>
      </c>
      <c r="B6" s="280" t="s">
        <v>15</v>
      </c>
      <c r="C6" s="262" t="s">
        <v>16</v>
      </c>
      <c r="D6" s="263">
        <v>98246250</v>
      </c>
      <c r="E6" s="263">
        <v>98246250</v>
      </c>
      <c r="F6" s="264">
        <v>87700000</v>
      </c>
      <c r="G6" s="263">
        <v>87700000</v>
      </c>
      <c r="H6" s="263">
        <f>70160000/0.8</f>
        <v>87700000</v>
      </c>
      <c r="I6" s="281">
        <v>70954433</v>
      </c>
      <c r="J6" s="282">
        <v>70954433</v>
      </c>
      <c r="K6" s="283">
        <f>K7+K8</f>
        <v>99544870</v>
      </c>
      <c r="L6" s="264">
        <v>133991444</v>
      </c>
      <c r="M6" s="284">
        <f>SUM(M7:M8)</f>
        <v>89502255</v>
      </c>
      <c r="N6" s="285">
        <f>N7+N8</f>
        <v>89502255</v>
      </c>
      <c r="O6" s="286">
        <v>199261737</v>
      </c>
      <c r="P6" s="287">
        <v>212199224</v>
      </c>
      <c r="Q6" s="288">
        <f>Q7+Q8+Q10</f>
        <v>129231450</v>
      </c>
      <c r="R6" s="425">
        <f>162493095+21415173</f>
        <v>183908268</v>
      </c>
      <c r="S6" s="433">
        <v>129375751</v>
      </c>
      <c r="T6" s="434">
        <v>131051751</v>
      </c>
      <c r="U6" s="415">
        <v>124490701</v>
      </c>
      <c r="V6" s="415">
        <v>107579454</v>
      </c>
      <c r="X6" s="208"/>
      <c r="Y6" s="208"/>
      <c r="Z6" s="208"/>
    </row>
    <row r="7" spans="1:26" x14ac:dyDescent="0.35">
      <c r="A7" s="439"/>
      <c r="B7" s="12" t="s">
        <v>17</v>
      </c>
      <c r="C7" s="262" t="s">
        <v>18</v>
      </c>
      <c r="D7" s="263">
        <v>20000000</v>
      </c>
      <c r="E7" s="263">
        <v>20000000</v>
      </c>
      <c r="F7" s="264">
        <v>15000000</v>
      </c>
      <c r="G7" s="263">
        <v>15000000</v>
      </c>
      <c r="H7" s="263">
        <v>15000000</v>
      </c>
      <c r="I7" s="13">
        <v>15000000</v>
      </c>
      <c r="J7" s="14">
        <v>15000000</v>
      </c>
      <c r="K7" s="15">
        <v>15000000</v>
      </c>
      <c r="L7" s="263">
        <f>K7</f>
        <v>15000000</v>
      </c>
      <c r="M7" s="16">
        <v>15000000</v>
      </c>
      <c r="N7" s="17">
        <f>K7</f>
        <v>15000000</v>
      </c>
      <c r="O7" s="18">
        <v>35925547.51593484</v>
      </c>
      <c r="P7" s="160">
        <v>35925547.51593484</v>
      </c>
      <c r="Q7" s="19">
        <f>N7</f>
        <v>15000000</v>
      </c>
      <c r="R7" s="426">
        <v>15000000</v>
      </c>
      <c r="S7" s="408">
        <v>15000000</v>
      </c>
      <c r="T7" s="152">
        <v>15000000</v>
      </c>
      <c r="U7" s="416">
        <v>15000000</v>
      </c>
      <c r="V7" s="416">
        <v>15000000</v>
      </c>
      <c r="X7" s="208"/>
    </row>
    <row r="8" spans="1:26" x14ac:dyDescent="0.35">
      <c r="A8" s="439"/>
      <c r="B8" s="12" t="s">
        <v>19</v>
      </c>
      <c r="C8" s="262" t="s">
        <v>20</v>
      </c>
      <c r="D8" s="263">
        <f>D6-D7</f>
        <v>78246250</v>
      </c>
      <c r="E8" s="263">
        <f t="shared" ref="E8:J8" si="0">E6-E7</f>
        <v>78246250</v>
      </c>
      <c r="F8" s="263">
        <f t="shared" si="0"/>
        <v>72700000</v>
      </c>
      <c r="G8" s="263">
        <f t="shared" si="0"/>
        <v>72700000</v>
      </c>
      <c r="H8" s="263">
        <f t="shared" si="0"/>
        <v>72700000</v>
      </c>
      <c r="I8" s="20">
        <f t="shared" si="0"/>
        <v>55954433</v>
      </c>
      <c r="J8" s="14">
        <f t="shared" si="0"/>
        <v>55954433</v>
      </c>
      <c r="K8" s="15">
        <v>84544870</v>
      </c>
      <c r="L8" s="263">
        <f>L6-L7</f>
        <v>118991444</v>
      </c>
      <c r="M8" s="21">
        <v>74502255</v>
      </c>
      <c r="N8" s="17">
        <v>74502255</v>
      </c>
      <c r="O8" s="18">
        <f>O6-O7-O10</f>
        <v>153337259.48406518</v>
      </c>
      <c r="P8" s="160">
        <f>P6-P7-P10</f>
        <v>166274746.48406518</v>
      </c>
      <c r="Q8" s="22">
        <v>104232520</v>
      </c>
      <c r="R8" s="426">
        <f>R6-R7-R10-R9</f>
        <v>140645408</v>
      </c>
      <c r="S8" s="408">
        <f>S6-S7-S10</f>
        <v>104376821</v>
      </c>
      <c r="T8" s="152">
        <f>T6-T7-T10-T9</f>
        <v>104376821</v>
      </c>
      <c r="U8" s="416">
        <f>U6-U7-U10-U9</f>
        <v>97815771</v>
      </c>
      <c r="V8" s="416">
        <f>V6-V7-V10-V9</f>
        <v>80904524</v>
      </c>
      <c r="X8" s="208"/>
    </row>
    <row r="9" spans="1:26" x14ac:dyDescent="0.35">
      <c r="A9" s="439"/>
      <c r="B9" s="327" t="s">
        <v>21</v>
      </c>
      <c r="C9" s="262"/>
      <c r="D9" s="263"/>
      <c r="E9" s="263"/>
      <c r="F9" s="263"/>
      <c r="G9" s="263"/>
      <c r="H9" s="263"/>
      <c r="I9" s="128"/>
      <c r="J9" s="129"/>
      <c r="K9" s="130"/>
      <c r="L9" s="263"/>
      <c r="M9" s="328">
        <v>0</v>
      </c>
      <c r="N9" s="329">
        <v>0</v>
      </c>
      <c r="O9" s="330">
        <v>0</v>
      </c>
      <c r="P9" s="393">
        <v>0</v>
      </c>
      <c r="Q9" s="331">
        <v>0</v>
      </c>
      <c r="R9" s="427">
        <v>18263930</v>
      </c>
      <c r="S9" s="435">
        <v>0</v>
      </c>
      <c r="T9" s="152">
        <v>1676000</v>
      </c>
      <c r="U9" s="472">
        <v>1676000</v>
      </c>
      <c r="V9" s="473">
        <v>1676000</v>
      </c>
      <c r="X9" s="208"/>
      <c r="Z9" s="424"/>
    </row>
    <row r="10" spans="1:26" ht="26.5" thickBot="1" x14ac:dyDescent="0.4">
      <c r="A10" s="440"/>
      <c r="B10" s="127" t="s">
        <v>22</v>
      </c>
      <c r="C10" s="262"/>
      <c r="D10" s="263"/>
      <c r="E10" s="263"/>
      <c r="F10" s="263"/>
      <c r="G10" s="263"/>
      <c r="H10" s="263"/>
      <c r="I10" s="128"/>
      <c r="J10" s="129"/>
      <c r="K10" s="130"/>
      <c r="L10" s="263"/>
      <c r="M10" s="131"/>
      <c r="N10" s="132"/>
      <c r="O10" s="133">
        <v>9998930</v>
      </c>
      <c r="P10" s="161">
        <v>9998930</v>
      </c>
      <c r="Q10" s="134">
        <v>9998930</v>
      </c>
      <c r="R10" s="428">
        <v>9998930</v>
      </c>
      <c r="S10" s="436">
        <v>9998930</v>
      </c>
      <c r="T10" s="474">
        <v>9998930</v>
      </c>
      <c r="U10" s="475">
        <v>9998930</v>
      </c>
      <c r="V10" s="476">
        <v>9998930</v>
      </c>
      <c r="X10" s="208"/>
    </row>
    <row r="11" spans="1:26" x14ac:dyDescent="0.35">
      <c r="A11" s="441" t="s">
        <v>23</v>
      </c>
      <c r="B11" s="486" t="s">
        <v>155</v>
      </c>
      <c r="C11" s="365" t="s">
        <v>24</v>
      </c>
      <c r="D11" s="135">
        <f t="shared" ref="D11:J11" si="1">SUM(D13:D33)</f>
        <v>42131281</v>
      </c>
      <c r="E11" s="135">
        <f t="shared" si="1"/>
        <v>42131281</v>
      </c>
      <c r="F11" s="135">
        <f t="shared" si="1"/>
        <v>58888226</v>
      </c>
      <c r="G11" s="135">
        <f t="shared" si="1"/>
        <v>58888226</v>
      </c>
      <c r="H11" s="135">
        <f t="shared" si="1"/>
        <v>51724920</v>
      </c>
      <c r="I11" s="135">
        <f t="shared" si="1"/>
        <v>48101030</v>
      </c>
      <c r="J11" s="135">
        <f t="shared" si="1"/>
        <v>58251227</v>
      </c>
      <c r="K11" s="135">
        <v>41804645</v>
      </c>
      <c r="L11" s="136">
        <f>SUM(L13:L33)</f>
        <v>696656</v>
      </c>
      <c r="M11" s="137">
        <f>SUM(M13:M33)</f>
        <v>42315779</v>
      </c>
      <c r="N11" s="138">
        <f>SUM(N13:N33)</f>
        <v>42315779</v>
      </c>
      <c r="O11" s="366">
        <f>SUM(O13:O33)</f>
        <v>86208118</v>
      </c>
      <c r="P11" s="139">
        <f>SUM(P13:P33)</f>
        <v>86208118</v>
      </c>
      <c r="Q11" s="240">
        <f>SUM(Q12:Q32)</f>
        <v>62893184.366189703</v>
      </c>
      <c r="R11" s="477">
        <f>SUM(R12:R31)</f>
        <v>121475824</v>
      </c>
      <c r="S11" s="431">
        <f>SUM(S12:S32)</f>
        <v>63007199</v>
      </c>
      <c r="T11" s="478">
        <f>SUM(T12:T31)</f>
        <v>72453125</v>
      </c>
      <c r="U11" s="479">
        <f>SUM(U12:U31)</f>
        <v>72065005</v>
      </c>
      <c r="V11" s="480">
        <f>SUM(V12:V31)</f>
        <v>67508305</v>
      </c>
    </row>
    <row r="12" spans="1:26" x14ac:dyDescent="0.35">
      <c r="A12" s="442"/>
      <c r="B12" s="367" t="s">
        <v>25</v>
      </c>
      <c r="C12" s="351"/>
      <c r="D12" s="352"/>
      <c r="E12" s="352"/>
      <c r="F12" s="352"/>
      <c r="G12" s="352"/>
      <c r="H12" s="352"/>
      <c r="I12" s="352"/>
      <c r="J12" s="352"/>
      <c r="K12" s="352"/>
      <c r="L12" s="387"/>
      <c r="M12" s="394">
        <v>0</v>
      </c>
      <c r="N12" s="353">
        <v>0</v>
      </c>
      <c r="O12" s="354">
        <v>0</v>
      </c>
      <c r="P12" s="232">
        <v>0</v>
      </c>
      <c r="Q12" s="230">
        <v>51557</v>
      </c>
      <c r="R12" s="210">
        <v>51557</v>
      </c>
      <c r="S12" s="230">
        <v>51557</v>
      </c>
      <c r="T12" s="210">
        <v>51557</v>
      </c>
      <c r="U12" s="149">
        <v>51557</v>
      </c>
      <c r="V12" s="148">
        <v>51557</v>
      </c>
    </row>
    <row r="13" spans="1:26" x14ac:dyDescent="0.35">
      <c r="A13" s="442"/>
      <c r="B13" s="367" t="s">
        <v>26</v>
      </c>
      <c r="C13" s="351" t="s">
        <v>27</v>
      </c>
      <c r="D13" s="23">
        <v>12576857</v>
      </c>
      <c r="E13" s="23">
        <v>9576857</v>
      </c>
      <c r="F13" s="23">
        <v>24688226</v>
      </c>
      <c r="G13" s="23">
        <v>7163306</v>
      </c>
      <c r="H13" s="23">
        <v>0</v>
      </c>
      <c r="I13" s="36">
        <v>14496400</v>
      </c>
      <c r="J13" s="23">
        <v>30646597</v>
      </c>
      <c r="K13" s="36">
        <v>0</v>
      </c>
      <c r="L13" s="388">
        <v>0</v>
      </c>
      <c r="M13" s="25">
        <v>17174231</v>
      </c>
      <c r="N13" s="26">
        <v>17174231</v>
      </c>
      <c r="O13" s="355">
        <v>54206019</v>
      </c>
      <c r="P13" s="27">
        <v>54206019</v>
      </c>
      <c r="Q13" s="28">
        <v>30039695.3661897</v>
      </c>
      <c r="R13" s="211">
        <f>57200259+3151243</f>
        <v>60351502</v>
      </c>
      <c r="S13" s="409">
        <v>30239965</v>
      </c>
      <c r="T13" s="211">
        <f>39685891-3151243</f>
        <v>36534648</v>
      </c>
      <c r="U13" s="422">
        <v>39098501</v>
      </c>
      <c r="V13" s="417">
        <v>34521801</v>
      </c>
      <c r="X13" s="208"/>
    </row>
    <row r="14" spans="1:26" hidden="1" x14ac:dyDescent="0.35">
      <c r="A14" s="442"/>
      <c r="B14" s="368" t="s">
        <v>28</v>
      </c>
      <c r="C14" s="356" t="s">
        <v>29</v>
      </c>
      <c r="D14" s="29">
        <v>1403014</v>
      </c>
      <c r="E14" s="29">
        <v>1403014</v>
      </c>
      <c r="F14" s="30">
        <v>2000000</v>
      </c>
      <c r="G14" s="29">
        <v>2000000</v>
      </c>
      <c r="H14" s="29">
        <v>2000000</v>
      </c>
      <c r="I14" s="30">
        <v>2000000</v>
      </c>
      <c r="J14" s="29">
        <v>2000000</v>
      </c>
      <c r="K14" s="29">
        <v>0</v>
      </c>
      <c r="L14" s="389"/>
      <c r="M14" s="31">
        <v>0</v>
      </c>
      <c r="N14" s="32">
        <v>0</v>
      </c>
      <c r="O14" s="357">
        <v>0</v>
      </c>
      <c r="P14" s="33">
        <v>0</v>
      </c>
      <c r="Q14" s="31">
        <v>0</v>
      </c>
      <c r="R14" s="212">
        <v>0</v>
      </c>
      <c r="S14" s="410"/>
      <c r="T14" s="212">
        <v>0</v>
      </c>
      <c r="U14" s="35">
        <v>0</v>
      </c>
      <c r="V14" s="34"/>
    </row>
    <row r="15" spans="1:26" hidden="1" x14ac:dyDescent="0.35">
      <c r="A15" s="442"/>
      <c r="B15" s="369" t="s">
        <v>30</v>
      </c>
      <c r="C15" s="351" t="s">
        <v>31</v>
      </c>
      <c r="D15" s="23">
        <v>545160</v>
      </c>
      <c r="E15" s="23">
        <v>545160</v>
      </c>
      <c r="F15" s="36"/>
      <c r="G15" s="37"/>
      <c r="H15" s="37"/>
      <c r="I15" s="36"/>
      <c r="J15" s="23"/>
      <c r="K15" s="23"/>
      <c r="L15" s="388"/>
      <c r="M15" s="25">
        <v>0</v>
      </c>
      <c r="N15" s="26">
        <v>0</v>
      </c>
      <c r="O15" s="349">
        <v>0</v>
      </c>
      <c r="P15" s="38">
        <v>0</v>
      </c>
      <c r="Q15" s="25">
        <v>0</v>
      </c>
      <c r="R15" s="213">
        <v>0</v>
      </c>
      <c r="S15" s="411"/>
      <c r="T15" s="213">
        <v>0</v>
      </c>
      <c r="U15" s="40">
        <v>0</v>
      </c>
      <c r="V15" s="39"/>
    </row>
    <row r="16" spans="1:26" ht="26" x14ac:dyDescent="0.35">
      <c r="A16" s="442"/>
      <c r="B16" s="370" t="s">
        <v>32</v>
      </c>
      <c r="C16" s="351"/>
      <c r="D16" s="23"/>
      <c r="E16" s="23"/>
      <c r="F16" s="36"/>
      <c r="G16" s="37"/>
      <c r="H16" s="37"/>
      <c r="I16" s="36"/>
      <c r="J16" s="23"/>
      <c r="K16" s="23"/>
      <c r="L16" s="388"/>
      <c r="M16" s="145">
        <v>0</v>
      </c>
      <c r="N16" s="146">
        <v>0</v>
      </c>
      <c r="O16" s="353">
        <v>0</v>
      </c>
      <c r="P16" s="147">
        <v>0</v>
      </c>
      <c r="Q16" s="145">
        <v>0</v>
      </c>
      <c r="R16" s="214">
        <v>17120000</v>
      </c>
      <c r="S16" s="411">
        <v>0</v>
      </c>
      <c r="T16" s="214">
        <v>1500000</v>
      </c>
      <c r="U16" s="254">
        <v>0</v>
      </c>
      <c r="V16" s="151">
        <v>0</v>
      </c>
    </row>
    <row r="17" spans="1:30" ht="26" x14ac:dyDescent="0.35">
      <c r="A17" s="442"/>
      <c r="B17" s="370" t="s">
        <v>33</v>
      </c>
      <c r="C17" s="351"/>
      <c r="D17" s="23"/>
      <c r="E17" s="23"/>
      <c r="F17" s="36"/>
      <c r="G17" s="37"/>
      <c r="H17" s="37"/>
      <c r="I17" s="36"/>
      <c r="J17" s="23"/>
      <c r="K17" s="23"/>
      <c r="L17" s="388"/>
      <c r="M17" s="145">
        <v>0</v>
      </c>
      <c r="N17" s="146">
        <v>0</v>
      </c>
      <c r="O17" s="353">
        <v>0</v>
      </c>
      <c r="P17" s="147">
        <v>0</v>
      </c>
      <c r="Q17" s="145">
        <v>0</v>
      </c>
      <c r="R17" s="214">
        <v>8115664</v>
      </c>
      <c r="S17" s="411">
        <v>0</v>
      </c>
      <c r="T17" s="214">
        <v>0</v>
      </c>
      <c r="U17" s="254">
        <v>0</v>
      </c>
      <c r="V17" s="151">
        <v>0</v>
      </c>
      <c r="X17" s="423"/>
    </row>
    <row r="18" spans="1:30" x14ac:dyDescent="0.35">
      <c r="A18" s="442"/>
      <c r="B18" s="369" t="s">
        <v>34</v>
      </c>
      <c r="C18" s="351" t="s">
        <v>35</v>
      </c>
      <c r="D18" s="23">
        <v>12000000</v>
      </c>
      <c r="E18" s="23">
        <v>12000000</v>
      </c>
      <c r="F18" s="36">
        <v>12000000</v>
      </c>
      <c r="G18" s="23">
        <v>29524920</v>
      </c>
      <c r="H18" s="23">
        <f>G18</f>
        <v>29524920</v>
      </c>
      <c r="I18" s="36">
        <v>12000000</v>
      </c>
      <c r="J18" s="23">
        <v>12000000</v>
      </c>
      <c r="K18" s="36">
        <v>21763090</v>
      </c>
      <c r="L18" s="24"/>
      <c r="M18" s="25">
        <v>15203090</v>
      </c>
      <c r="N18" s="26">
        <v>15203090</v>
      </c>
      <c r="O18" s="350">
        <v>125000</v>
      </c>
      <c r="P18" s="41">
        <v>125000</v>
      </c>
      <c r="Q18" s="42">
        <v>125000</v>
      </c>
      <c r="R18" s="210">
        <f>P18</f>
        <v>125000</v>
      </c>
      <c r="S18" s="412">
        <v>125000</v>
      </c>
      <c r="T18" s="210">
        <f>R18</f>
        <v>125000</v>
      </c>
      <c r="U18" s="149">
        <f>T18</f>
        <v>125000</v>
      </c>
      <c r="V18" s="148">
        <v>125000</v>
      </c>
    </row>
    <row r="19" spans="1:30" x14ac:dyDescent="0.35">
      <c r="A19" s="442"/>
      <c r="B19" s="369" t="s">
        <v>36</v>
      </c>
      <c r="C19" s="351"/>
      <c r="D19" s="23"/>
      <c r="E19" s="23"/>
      <c r="F19" s="36"/>
      <c r="G19" s="23"/>
      <c r="H19" s="23"/>
      <c r="I19" s="36"/>
      <c r="J19" s="23"/>
      <c r="K19" s="36"/>
      <c r="L19" s="24"/>
      <c r="M19" s="145">
        <v>0</v>
      </c>
      <c r="N19" s="146">
        <v>0</v>
      </c>
      <c r="O19" s="358">
        <v>4310844</v>
      </c>
      <c r="P19" s="150">
        <v>4310844</v>
      </c>
      <c r="Q19" s="144">
        <v>4308645</v>
      </c>
      <c r="R19" s="210">
        <v>5629834</v>
      </c>
      <c r="S19" s="230">
        <v>4308645</v>
      </c>
      <c r="T19" s="210">
        <v>5629834</v>
      </c>
      <c r="U19" s="149">
        <v>5629834</v>
      </c>
      <c r="V19" s="148">
        <v>5629834</v>
      </c>
    </row>
    <row r="20" spans="1:30" x14ac:dyDescent="0.35">
      <c r="A20" s="442"/>
      <c r="B20" s="370" t="s">
        <v>37</v>
      </c>
      <c r="C20" s="351"/>
      <c r="D20" s="23"/>
      <c r="E20" s="23"/>
      <c r="F20" s="36"/>
      <c r="G20" s="23"/>
      <c r="H20" s="23"/>
      <c r="I20" s="36"/>
      <c r="J20" s="23"/>
      <c r="K20" s="36"/>
      <c r="L20" s="24"/>
      <c r="M20" s="145">
        <v>0</v>
      </c>
      <c r="N20" s="146">
        <v>0</v>
      </c>
      <c r="O20" s="354">
        <v>293299</v>
      </c>
      <c r="P20" s="232">
        <v>293299</v>
      </c>
      <c r="Q20" s="230">
        <v>241742</v>
      </c>
      <c r="R20" s="210">
        <v>271505</v>
      </c>
      <c r="S20" s="230">
        <v>241742</v>
      </c>
      <c r="T20" s="210">
        <v>271505</v>
      </c>
      <c r="U20" s="149">
        <v>271505</v>
      </c>
      <c r="V20" s="148">
        <v>271505</v>
      </c>
    </row>
    <row r="21" spans="1:30" x14ac:dyDescent="0.35">
      <c r="A21" s="442"/>
      <c r="B21" s="369" t="s">
        <v>38</v>
      </c>
      <c r="C21" s="351"/>
      <c r="D21" s="23"/>
      <c r="E21" s="23"/>
      <c r="F21" s="36"/>
      <c r="G21" s="23"/>
      <c r="H21" s="23"/>
      <c r="I21" s="23"/>
      <c r="J21" s="23"/>
      <c r="K21" s="23"/>
      <c r="L21" s="388"/>
      <c r="M21" s="145">
        <v>0</v>
      </c>
      <c r="N21" s="146">
        <v>0</v>
      </c>
      <c r="O21" s="350">
        <v>1220000</v>
      </c>
      <c r="P21" s="41">
        <v>1220000</v>
      </c>
      <c r="Q21" s="25">
        <v>1220000</v>
      </c>
      <c r="R21" s="210">
        <v>1220000</v>
      </c>
      <c r="S21" s="412">
        <v>1220000</v>
      </c>
      <c r="T21" s="210">
        <v>1220000</v>
      </c>
      <c r="U21" s="149">
        <v>1220000</v>
      </c>
      <c r="V21" s="148">
        <v>1220000</v>
      </c>
    </row>
    <row r="22" spans="1:30" ht="15" thickBot="1" x14ac:dyDescent="0.4">
      <c r="A22" s="442"/>
      <c r="B22" s="369" t="s">
        <v>39</v>
      </c>
      <c r="C22" s="351"/>
      <c r="D22" s="23"/>
      <c r="E22" s="23"/>
      <c r="F22" s="36"/>
      <c r="G22" s="23"/>
      <c r="H22" s="23"/>
      <c r="I22" s="36"/>
      <c r="J22" s="23"/>
      <c r="K22" s="36"/>
      <c r="L22" s="24"/>
      <c r="M22" s="145">
        <v>0</v>
      </c>
      <c r="N22" s="146">
        <v>0</v>
      </c>
      <c r="O22" s="350">
        <v>23818604</v>
      </c>
      <c r="P22" s="41">
        <v>23818604</v>
      </c>
      <c r="Q22" s="25">
        <v>23818604</v>
      </c>
      <c r="R22" s="481">
        <v>25000000</v>
      </c>
      <c r="S22" s="229">
        <v>23818604</v>
      </c>
      <c r="T22" s="210">
        <v>23616074</v>
      </c>
      <c r="U22" s="149">
        <v>23616074</v>
      </c>
      <c r="V22" s="148">
        <v>23616074</v>
      </c>
    </row>
    <row r="23" spans="1:30" hidden="1" x14ac:dyDescent="0.35">
      <c r="A23" s="442"/>
      <c r="B23" s="368" t="s">
        <v>40</v>
      </c>
      <c r="C23" s="356" t="s">
        <v>35</v>
      </c>
      <c r="D23" s="29">
        <v>7000000</v>
      </c>
      <c r="E23" s="29">
        <v>7000000</v>
      </c>
      <c r="F23" s="30">
        <v>7000000</v>
      </c>
      <c r="G23" s="29">
        <v>7000000</v>
      </c>
      <c r="H23" s="29">
        <v>7000000</v>
      </c>
      <c r="I23" s="30">
        <v>7000000</v>
      </c>
      <c r="J23" s="29">
        <v>1000000</v>
      </c>
      <c r="K23" s="29">
        <v>0</v>
      </c>
      <c r="L23" s="389">
        <v>696656</v>
      </c>
      <c r="M23" s="31">
        <v>0</v>
      </c>
      <c r="N23" s="32">
        <v>0</v>
      </c>
      <c r="O23" s="359">
        <v>0</v>
      </c>
      <c r="P23" s="43">
        <v>0</v>
      </c>
      <c r="Q23" s="31">
        <v>0</v>
      </c>
      <c r="R23" s="215">
        <v>0</v>
      </c>
      <c r="S23" s="413"/>
      <c r="T23" s="215">
        <v>0</v>
      </c>
      <c r="U23" s="45">
        <v>0</v>
      </c>
      <c r="V23" s="44"/>
    </row>
    <row r="24" spans="1:30" hidden="1" x14ac:dyDescent="0.35">
      <c r="A24" s="442"/>
      <c r="B24" s="369" t="s">
        <v>41</v>
      </c>
      <c r="C24" s="351" t="s">
        <v>42</v>
      </c>
      <c r="D24" s="23"/>
      <c r="E24" s="23">
        <v>3000000</v>
      </c>
      <c r="F24" s="36"/>
      <c r="G24" s="23"/>
      <c r="H24" s="23"/>
      <c r="I24" s="36">
        <v>0</v>
      </c>
      <c r="J24" s="23"/>
      <c r="K24" s="23">
        <v>0</v>
      </c>
      <c r="L24" s="388">
        <v>0</v>
      </c>
      <c r="M24" s="25">
        <v>0</v>
      </c>
      <c r="N24" s="26">
        <v>0</v>
      </c>
      <c r="O24" s="355">
        <v>0</v>
      </c>
      <c r="P24" s="27">
        <v>0</v>
      </c>
      <c r="Q24" s="25">
        <v>0</v>
      </c>
      <c r="R24" s="216">
        <v>0</v>
      </c>
      <c r="S24" s="412"/>
      <c r="T24" s="216">
        <v>0</v>
      </c>
      <c r="U24" s="226">
        <v>0</v>
      </c>
      <c r="V24" s="418"/>
    </row>
    <row r="25" spans="1:30" ht="15" thickBot="1" x14ac:dyDescent="0.4">
      <c r="A25" s="442"/>
      <c r="B25" s="370" t="s">
        <v>43</v>
      </c>
      <c r="C25" s="351" t="s">
        <v>44</v>
      </c>
      <c r="D25" s="23"/>
      <c r="E25" s="23"/>
      <c r="F25" s="36"/>
      <c r="G25" s="23"/>
      <c r="H25" s="23"/>
      <c r="I25" s="23"/>
      <c r="J25" s="23"/>
      <c r="K25" s="23">
        <v>124200</v>
      </c>
      <c r="L25" s="388"/>
      <c r="M25" s="25">
        <v>124200</v>
      </c>
      <c r="N25" s="26">
        <v>124200</v>
      </c>
      <c r="O25" s="350">
        <v>124200</v>
      </c>
      <c r="P25" s="41">
        <v>124200</v>
      </c>
      <c r="Q25" s="25">
        <v>150000</v>
      </c>
      <c r="R25" s="210">
        <v>942816</v>
      </c>
      <c r="S25" s="412">
        <v>150000</v>
      </c>
      <c r="T25" s="210">
        <v>942816</v>
      </c>
      <c r="U25" s="149">
        <v>948624</v>
      </c>
      <c r="V25" s="148">
        <v>948624</v>
      </c>
      <c r="AD25" s="432"/>
    </row>
    <row r="26" spans="1:30" ht="26" x14ac:dyDescent="0.35">
      <c r="A26" s="442"/>
      <c r="B26" s="370" t="s">
        <v>45</v>
      </c>
      <c r="C26" s="351" t="s">
        <v>44</v>
      </c>
      <c r="D26" s="23"/>
      <c r="E26" s="23"/>
      <c r="F26" s="36"/>
      <c r="G26" s="23"/>
      <c r="H26" s="23"/>
      <c r="I26" s="23"/>
      <c r="J26" s="23"/>
      <c r="K26" s="23">
        <v>1700807</v>
      </c>
      <c r="L26" s="388"/>
      <c r="M26" s="25">
        <v>4692108</v>
      </c>
      <c r="N26" s="26">
        <v>4692108</v>
      </c>
      <c r="O26" s="350">
        <v>1141837</v>
      </c>
      <c r="P26" s="41">
        <v>1141837</v>
      </c>
      <c r="Q26" s="25">
        <v>2144036</v>
      </c>
      <c r="R26" s="400">
        <v>2144036</v>
      </c>
      <c r="S26" s="229">
        <v>2057781</v>
      </c>
      <c r="T26" s="210">
        <v>2057781</v>
      </c>
      <c r="U26" s="149">
        <v>600000</v>
      </c>
      <c r="V26" s="148">
        <v>600000</v>
      </c>
    </row>
    <row r="27" spans="1:30" x14ac:dyDescent="0.35">
      <c r="A27" s="442"/>
      <c r="B27" s="369" t="s">
        <v>46</v>
      </c>
      <c r="C27" s="351"/>
      <c r="D27" s="23"/>
      <c r="E27" s="23"/>
      <c r="F27" s="36"/>
      <c r="G27" s="23"/>
      <c r="H27" s="23"/>
      <c r="I27" s="23"/>
      <c r="J27" s="23"/>
      <c r="K27" s="23"/>
      <c r="L27" s="388"/>
      <c r="M27" s="145">
        <v>0</v>
      </c>
      <c r="N27" s="146">
        <v>0</v>
      </c>
      <c r="O27" s="360">
        <v>604410</v>
      </c>
      <c r="P27" s="238">
        <v>604410</v>
      </c>
      <c r="Q27" s="239">
        <v>430000</v>
      </c>
      <c r="R27" s="210">
        <v>430000</v>
      </c>
      <c r="S27" s="230">
        <v>430000</v>
      </c>
      <c r="T27" s="210">
        <v>430000</v>
      </c>
      <c r="U27" s="149">
        <v>430000</v>
      </c>
      <c r="V27" s="148">
        <v>450000</v>
      </c>
    </row>
    <row r="28" spans="1:30" x14ac:dyDescent="0.35">
      <c r="A28" s="442"/>
      <c r="B28" s="370" t="s">
        <v>47</v>
      </c>
      <c r="C28" s="351"/>
      <c r="D28" s="23"/>
      <c r="E28" s="23"/>
      <c r="F28" s="36"/>
      <c r="G28" s="23"/>
      <c r="H28" s="23"/>
      <c r="I28" s="23"/>
      <c r="J28" s="23"/>
      <c r="K28" s="23"/>
      <c r="L28" s="388"/>
      <c r="M28" s="145">
        <v>0</v>
      </c>
      <c r="N28" s="146">
        <v>0</v>
      </c>
      <c r="O28" s="361">
        <v>73910</v>
      </c>
      <c r="P28" s="231">
        <v>73910</v>
      </c>
      <c r="Q28" s="401">
        <v>73910</v>
      </c>
      <c r="R28" s="223">
        <v>73910</v>
      </c>
      <c r="S28" s="401">
        <v>73910</v>
      </c>
      <c r="T28" s="223">
        <v>73910</v>
      </c>
      <c r="U28" s="235">
        <v>73910</v>
      </c>
      <c r="V28" s="419">
        <v>73910</v>
      </c>
    </row>
    <row r="29" spans="1:30" ht="26" x14ac:dyDescent="0.35">
      <c r="A29" s="442"/>
      <c r="B29" s="370" t="s">
        <v>48</v>
      </c>
      <c r="C29" s="351" t="s">
        <v>44</v>
      </c>
      <c r="D29" s="23"/>
      <c r="E29" s="23"/>
      <c r="F29" s="36"/>
      <c r="G29" s="23"/>
      <c r="H29" s="23"/>
      <c r="I29" s="23">
        <v>0</v>
      </c>
      <c r="J29" s="23"/>
      <c r="K29" s="23">
        <v>0</v>
      </c>
      <c r="L29" s="388">
        <v>0</v>
      </c>
      <c r="M29" s="145">
        <v>0</v>
      </c>
      <c r="N29" s="146">
        <v>0</v>
      </c>
      <c r="O29" s="350">
        <v>289995</v>
      </c>
      <c r="P29" s="41">
        <v>289995</v>
      </c>
      <c r="Q29" s="229">
        <v>289995</v>
      </c>
      <c r="R29" s="210">
        <v>0</v>
      </c>
      <c r="S29" s="412">
        <v>289995</v>
      </c>
      <c r="T29" s="232">
        <f>R29</f>
        <v>0</v>
      </c>
      <c r="U29" s="236">
        <f t="shared" ref="U29:U30" si="2">T29</f>
        <v>0</v>
      </c>
      <c r="V29" s="420">
        <v>0</v>
      </c>
      <c r="AA29" s="208"/>
    </row>
    <row r="30" spans="1:30" ht="32.15" hidden="1" customHeight="1" x14ac:dyDescent="0.35">
      <c r="A30" s="442"/>
      <c r="B30" s="371" t="s">
        <v>49</v>
      </c>
      <c r="C30" s="351" t="s">
        <v>44</v>
      </c>
      <c r="D30" s="23"/>
      <c r="E30" s="23"/>
      <c r="F30" s="36"/>
      <c r="G30" s="23"/>
      <c r="H30" s="23"/>
      <c r="I30" s="23">
        <v>0</v>
      </c>
      <c r="J30" s="23"/>
      <c r="K30" s="23">
        <v>0</v>
      </c>
      <c r="L30" s="388">
        <v>0</v>
      </c>
      <c r="M30" s="145">
        <v>0</v>
      </c>
      <c r="N30" s="146">
        <v>0</v>
      </c>
      <c r="O30" s="358">
        <v>0</v>
      </c>
      <c r="P30" s="150">
        <v>0</v>
      </c>
      <c r="Q30" s="145">
        <v>0</v>
      </c>
      <c r="R30" s="232">
        <v>0</v>
      </c>
      <c r="S30" s="230">
        <v>0</v>
      </c>
      <c r="T30" s="232">
        <f>R30</f>
        <v>0</v>
      </c>
      <c r="U30" s="236">
        <f t="shared" si="2"/>
        <v>0</v>
      </c>
      <c r="V30" s="420">
        <v>0</v>
      </c>
    </row>
    <row r="31" spans="1:30" ht="32.15" customHeight="1" thickBot="1" x14ac:dyDescent="0.4">
      <c r="A31" s="442"/>
      <c r="B31" s="372" t="s">
        <v>50</v>
      </c>
      <c r="C31" s="373" t="s">
        <v>44</v>
      </c>
      <c r="D31" s="140"/>
      <c r="E31" s="140"/>
      <c r="F31" s="141"/>
      <c r="G31" s="140"/>
      <c r="H31" s="140"/>
      <c r="I31" s="140"/>
      <c r="J31" s="140"/>
      <c r="K31" s="140">
        <v>5611918</v>
      </c>
      <c r="L31" s="390"/>
      <c r="M31" s="142">
        <v>5122150</v>
      </c>
      <c r="N31" s="143">
        <v>5122150</v>
      </c>
      <c r="O31" s="374">
        <v>0</v>
      </c>
      <c r="P31" s="233">
        <v>0</v>
      </c>
      <c r="Q31" s="234">
        <v>0</v>
      </c>
      <c r="R31" s="402">
        <v>0</v>
      </c>
      <c r="S31" s="414">
        <v>0</v>
      </c>
      <c r="T31" s="332">
        <v>0</v>
      </c>
      <c r="U31" s="237">
        <v>0</v>
      </c>
      <c r="V31" s="421">
        <v>0</v>
      </c>
    </row>
    <row r="32" spans="1:30" x14ac:dyDescent="0.35">
      <c r="A32" s="442"/>
      <c r="B32" s="375" t="s">
        <v>51</v>
      </c>
      <c r="C32" s="376" t="s">
        <v>44</v>
      </c>
      <c r="D32" s="377"/>
      <c r="E32" s="377"/>
      <c r="F32" s="378"/>
      <c r="G32" s="377"/>
      <c r="H32" s="377"/>
      <c r="I32" s="377"/>
      <c r="J32" s="377"/>
      <c r="K32" s="377">
        <v>5611918</v>
      </c>
      <c r="L32" s="391"/>
      <c r="M32" s="395">
        <v>0</v>
      </c>
      <c r="N32" s="379">
        <v>0</v>
      </c>
      <c r="O32" s="380">
        <v>0</v>
      </c>
      <c r="P32" s="396">
        <v>0</v>
      </c>
      <c r="Q32" s="403">
        <v>0</v>
      </c>
      <c r="R32" s="482">
        <v>5263930</v>
      </c>
      <c r="S32" s="403">
        <v>0</v>
      </c>
      <c r="T32" s="223">
        <v>1676000</v>
      </c>
      <c r="U32" s="223">
        <v>1676000</v>
      </c>
      <c r="V32" s="223">
        <v>1676000</v>
      </c>
      <c r="Z32" s="208"/>
    </row>
    <row r="33" spans="1:26" ht="26.5" hidden="1" thickBot="1" x14ac:dyDescent="0.4">
      <c r="A33" s="443"/>
      <c r="B33" s="381" t="s">
        <v>52</v>
      </c>
      <c r="C33" s="362" t="s">
        <v>53</v>
      </c>
      <c r="D33" s="363">
        <v>8606250</v>
      </c>
      <c r="E33" s="363">
        <v>8606250</v>
      </c>
      <c r="F33" s="364">
        <v>13200000</v>
      </c>
      <c r="G33" s="363">
        <v>13200000</v>
      </c>
      <c r="H33" s="363">
        <v>13200000</v>
      </c>
      <c r="I33" s="364">
        <v>12604630</v>
      </c>
      <c r="J33" s="364">
        <v>12604630</v>
      </c>
      <c r="K33" s="364">
        <v>12604630</v>
      </c>
      <c r="L33" s="392">
        <v>0</v>
      </c>
      <c r="M33" s="31">
        <v>0</v>
      </c>
      <c r="N33" s="32">
        <v>0</v>
      </c>
      <c r="O33" s="359">
        <v>0</v>
      </c>
      <c r="P33" s="43">
        <v>0</v>
      </c>
      <c r="Q33" s="404">
        <v>0</v>
      </c>
      <c r="R33" s="483">
        <v>0</v>
      </c>
      <c r="S33" s="413"/>
      <c r="T33" s="483">
        <v>0</v>
      </c>
      <c r="U33" s="484">
        <v>0</v>
      </c>
      <c r="V33" s="485"/>
    </row>
    <row r="34" spans="1:26" ht="15" thickBot="1" x14ac:dyDescent="0.4">
      <c r="A34" s="348"/>
      <c r="B34" s="383" t="s">
        <v>54</v>
      </c>
      <c r="C34" s="382"/>
      <c r="D34" s="345"/>
      <c r="E34" s="345"/>
      <c r="F34" s="346"/>
      <c r="G34" s="345"/>
      <c r="H34" s="345"/>
      <c r="I34" s="346"/>
      <c r="J34" s="346"/>
      <c r="K34" s="346"/>
      <c r="L34" s="347"/>
      <c r="M34" s="397">
        <v>0</v>
      </c>
      <c r="N34" s="384">
        <v>0</v>
      </c>
      <c r="O34" s="385">
        <v>0</v>
      </c>
      <c r="P34" s="398">
        <v>0</v>
      </c>
      <c r="Q34" s="397">
        <v>0</v>
      </c>
      <c r="R34" s="402">
        <v>13000000</v>
      </c>
      <c r="S34" s="414">
        <v>0</v>
      </c>
      <c r="T34" s="332">
        <v>0</v>
      </c>
      <c r="U34" s="237">
        <v>0</v>
      </c>
      <c r="V34" s="421">
        <v>0</v>
      </c>
    </row>
    <row r="35" spans="1:26" x14ac:dyDescent="0.35">
      <c r="A35" s="444" t="s">
        <v>55</v>
      </c>
      <c r="B35" s="333" t="s">
        <v>56</v>
      </c>
      <c r="C35" s="334" t="s">
        <v>57</v>
      </c>
      <c r="D35" s="335">
        <v>113875127</v>
      </c>
      <c r="E35" s="335">
        <v>116600000</v>
      </c>
      <c r="F35" s="335">
        <v>102566026</v>
      </c>
      <c r="G35" s="335">
        <v>52550000</v>
      </c>
      <c r="H35" s="336">
        <f>53800000*8/12</f>
        <v>35866666.666666664</v>
      </c>
      <c r="I35" s="337">
        <v>95250064</v>
      </c>
      <c r="J35" s="335">
        <v>54100000</v>
      </c>
      <c r="K35" s="335">
        <v>0</v>
      </c>
      <c r="L35" s="338">
        <v>0</v>
      </c>
      <c r="M35" s="339">
        <v>77759274</v>
      </c>
      <c r="N35" s="340">
        <v>0</v>
      </c>
      <c r="O35" s="341">
        <v>0</v>
      </c>
      <c r="P35" s="342">
        <v>0</v>
      </c>
      <c r="Q35" s="339">
        <v>0</v>
      </c>
      <c r="R35" s="341">
        <v>0</v>
      </c>
      <c r="S35" s="245">
        <v>0</v>
      </c>
      <c r="T35" s="342">
        <v>0</v>
      </c>
      <c r="U35" s="343">
        <v>0</v>
      </c>
      <c r="V35" s="344"/>
      <c r="Z35" s="208"/>
    </row>
    <row r="36" spans="1:26" x14ac:dyDescent="0.35">
      <c r="A36" s="445"/>
      <c r="B36" s="46" t="s">
        <v>58</v>
      </c>
      <c r="C36" s="47" t="s">
        <v>59</v>
      </c>
      <c r="D36" s="48">
        <f>D35-D39</f>
        <v>12214542</v>
      </c>
      <c r="E36" s="48">
        <f t="shared" ref="E36:V36" si="3">E35-E39</f>
        <v>35900000</v>
      </c>
      <c r="F36" s="48">
        <f t="shared" si="3"/>
        <v>8152672</v>
      </c>
      <c r="G36" s="48">
        <f t="shared" si="3"/>
        <v>7250000</v>
      </c>
      <c r="H36" s="49">
        <f>H35-H39</f>
        <v>7466666.6666666642</v>
      </c>
      <c r="I36" s="50">
        <f t="shared" si="3"/>
        <v>18122921</v>
      </c>
      <c r="J36" s="48">
        <f t="shared" si="3"/>
        <v>-3800000</v>
      </c>
      <c r="K36" s="48">
        <f t="shared" si="3"/>
        <v>-17174231</v>
      </c>
      <c r="L36" s="51">
        <f t="shared" si="3"/>
        <v>-31553435.468106464</v>
      </c>
      <c r="M36" s="52">
        <f t="shared" si="3"/>
        <v>7085539</v>
      </c>
      <c r="N36" s="53">
        <f t="shared" si="3"/>
        <v>-23773885</v>
      </c>
      <c r="O36" s="155">
        <f>O35-O39</f>
        <v>-30024910.574974257</v>
      </c>
      <c r="P36" s="54">
        <f>P35-P39</f>
        <v>-34450085.925959304</v>
      </c>
      <c r="Q36" s="241">
        <f t="shared" ref="Q36" si="4">Q35-Q39</f>
        <v>-30068780.65339864</v>
      </c>
      <c r="R36" s="155">
        <f>R35-R39</f>
        <v>-36896366</v>
      </c>
      <c r="S36" s="246">
        <f t="shared" si="3"/>
        <v>-30299337.045376334</v>
      </c>
      <c r="T36" s="54">
        <f t="shared" si="3"/>
        <v>-27148094.045376334</v>
      </c>
      <c r="U36" s="250">
        <f t="shared" si="3"/>
        <v>-30299337.045376334</v>
      </c>
      <c r="V36" s="255">
        <f t="shared" si="3"/>
        <v>-21356787.711266015</v>
      </c>
    </row>
    <row r="37" spans="1:26" x14ac:dyDescent="0.35">
      <c r="A37" s="445"/>
      <c r="B37" s="55" t="s">
        <v>60</v>
      </c>
      <c r="C37" s="47" t="s">
        <v>61</v>
      </c>
      <c r="D37" s="48">
        <v>66824308</v>
      </c>
      <c r="E37" s="48">
        <v>75400000</v>
      </c>
      <c r="F37" s="48">
        <v>62225697</v>
      </c>
      <c r="G37" s="48">
        <v>101700000</v>
      </c>
      <c r="H37" s="49">
        <v>78847000</v>
      </c>
      <c r="I37" s="50">
        <v>51221550</v>
      </c>
      <c r="J37" s="48">
        <v>67400000</v>
      </c>
      <c r="K37" s="48">
        <v>72761000</v>
      </c>
      <c r="L37" s="51">
        <v>6379796.2276121397</v>
      </c>
      <c r="M37" s="52">
        <v>44137310</v>
      </c>
      <c r="N37" s="53">
        <v>61695000</v>
      </c>
      <c r="O37" s="155">
        <v>7914426.57503644</v>
      </c>
      <c r="P37" s="54">
        <v>4418788.6091436101</v>
      </c>
      <c r="Q37" s="241">
        <v>6247119.3389834603</v>
      </c>
      <c r="R37" s="155">
        <v>4912167</v>
      </c>
      <c r="S37" s="246">
        <v>5807661.6091133701</v>
      </c>
      <c r="T37" s="54">
        <v>5807661.6091133701</v>
      </c>
      <c r="U37" s="250">
        <v>5807661.6091133701</v>
      </c>
      <c r="V37" s="255">
        <v>2297525.0286335191</v>
      </c>
    </row>
    <row r="38" spans="1:26" x14ac:dyDescent="0.35">
      <c r="A38" s="445"/>
      <c r="B38" s="55" t="s">
        <v>62</v>
      </c>
      <c r="C38" s="47" t="s">
        <v>63</v>
      </c>
      <c r="D38" s="48">
        <v>168484893</v>
      </c>
      <c r="E38" s="48">
        <v>156100000</v>
      </c>
      <c r="F38" s="48">
        <v>156639051</v>
      </c>
      <c r="G38" s="48">
        <v>147000000</v>
      </c>
      <c r="H38" s="49">
        <v>107247000</v>
      </c>
      <c r="I38" s="50">
        <v>128348693</v>
      </c>
      <c r="J38" s="48">
        <v>125300000</v>
      </c>
      <c r="K38" s="48">
        <v>89935231</v>
      </c>
      <c r="L38" s="51">
        <v>37933231.695718601</v>
      </c>
      <c r="M38" s="52">
        <v>114811045</v>
      </c>
      <c r="N38" s="53">
        <v>85468885</v>
      </c>
      <c r="O38" s="155">
        <v>37939337.150010698</v>
      </c>
      <c r="P38" s="54">
        <v>38868874.535102911</v>
      </c>
      <c r="Q38" s="241">
        <v>36315899.992382102</v>
      </c>
      <c r="R38" s="155">
        <f>38657290+3151243</f>
        <v>41808533</v>
      </c>
      <c r="S38" s="246">
        <v>36106998.654489703</v>
      </c>
      <c r="T38" s="54">
        <f>36106998.6544897-3151243</f>
        <v>32955755.654489703</v>
      </c>
      <c r="U38" s="250">
        <v>36106998.654489703</v>
      </c>
      <c r="V38" s="255">
        <v>23654312.739899535</v>
      </c>
    </row>
    <row r="39" spans="1:26" x14ac:dyDescent="0.35">
      <c r="A39" s="445"/>
      <c r="B39" s="46" t="s">
        <v>64</v>
      </c>
      <c r="C39" s="47" t="s">
        <v>65</v>
      </c>
      <c r="D39" s="48">
        <f>D38-D37</f>
        <v>101660585</v>
      </c>
      <c r="E39" s="48">
        <f t="shared" ref="E39:V39" si="5">E38-E37</f>
        <v>80700000</v>
      </c>
      <c r="F39" s="48">
        <f t="shared" si="5"/>
        <v>94413354</v>
      </c>
      <c r="G39" s="48">
        <f t="shared" si="5"/>
        <v>45300000</v>
      </c>
      <c r="H39" s="49">
        <f t="shared" si="5"/>
        <v>28400000</v>
      </c>
      <c r="I39" s="50">
        <f t="shared" si="5"/>
        <v>77127143</v>
      </c>
      <c r="J39" s="48">
        <f t="shared" si="5"/>
        <v>57900000</v>
      </c>
      <c r="K39" s="48">
        <f>K38-K37</f>
        <v>17174231</v>
      </c>
      <c r="L39" s="51">
        <f>L38-L37</f>
        <v>31553435.468106464</v>
      </c>
      <c r="M39" s="52">
        <f t="shared" si="5"/>
        <v>70673735</v>
      </c>
      <c r="N39" s="53">
        <f t="shared" si="5"/>
        <v>23773885</v>
      </c>
      <c r="O39" s="155">
        <f>O38-O37</f>
        <v>30024910.574974257</v>
      </c>
      <c r="P39" s="54">
        <f>P38-P37</f>
        <v>34450085.925959304</v>
      </c>
      <c r="Q39" s="241">
        <f t="shared" ref="Q39" si="6">Q38-Q37</f>
        <v>30068780.65339864</v>
      </c>
      <c r="R39" s="155">
        <f>R38-R37</f>
        <v>36896366</v>
      </c>
      <c r="S39" s="246">
        <f t="shared" si="5"/>
        <v>30299337.045376334</v>
      </c>
      <c r="T39" s="54">
        <f t="shared" si="5"/>
        <v>27148094.045376334</v>
      </c>
      <c r="U39" s="250">
        <f t="shared" si="5"/>
        <v>30299337.045376334</v>
      </c>
      <c r="V39" s="255">
        <f t="shared" si="5"/>
        <v>21356787.711266015</v>
      </c>
    </row>
    <row r="40" spans="1:26" x14ac:dyDescent="0.35">
      <c r="A40" s="445"/>
      <c r="B40" s="46" t="s">
        <v>66</v>
      </c>
      <c r="C40" s="47" t="s">
        <v>67</v>
      </c>
      <c r="D40" s="48"/>
      <c r="E40" s="56"/>
      <c r="F40" s="48"/>
      <c r="G40" s="56"/>
      <c r="H40" s="57"/>
      <c r="I40" s="50"/>
      <c r="J40" s="56"/>
      <c r="K40" s="56"/>
      <c r="L40" s="57"/>
      <c r="M40" s="52"/>
      <c r="N40" s="58"/>
      <c r="O40" s="156">
        <v>0</v>
      </c>
      <c r="P40" s="59">
        <v>0</v>
      </c>
      <c r="Q40" s="242"/>
      <c r="R40" s="156"/>
      <c r="S40" s="247"/>
      <c r="T40" s="59"/>
      <c r="U40" s="251"/>
      <c r="V40" s="227"/>
    </row>
    <row r="41" spans="1:26" x14ac:dyDescent="0.35">
      <c r="A41" s="445"/>
      <c r="B41" s="60" t="s">
        <v>68</v>
      </c>
      <c r="C41" s="61" t="s">
        <v>69</v>
      </c>
      <c r="D41" s="48">
        <f t="shared" ref="D41:V41" si="7">D13</f>
        <v>12576857</v>
      </c>
      <c r="E41" s="48">
        <f t="shared" si="7"/>
        <v>9576857</v>
      </c>
      <c r="F41" s="48">
        <f t="shared" si="7"/>
        <v>24688226</v>
      </c>
      <c r="G41" s="48">
        <f t="shared" si="7"/>
        <v>7163306</v>
      </c>
      <c r="H41" s="51">
        <f t="shared" si="7"/>
        <v>0</v>
      </c>
      <c r="I41" s="50">
        <f t="shared" si="7"/>
        <v>14496400</v>
      </c>
      <c r="J41" s="48">
        <f t="shared" si="7"/>
        <v>30646597</v>
      </c>
      <c r="K41" s="48">
        <f t="shared" si="7"/>
        <v>0</v>
      </c>
      <c r="L41" s="51">
        <f t="shared" si="7"/>
        <v>0</v>
      </c>
      <c r="M41" s="52">
        <f t="shared" si="7"/>
        <v>17174231</v>
      </c>
      <c r="N41" s="53">
        <f t="shared" si="7"/>
        <v>17174231</v>
      </c>
      <c r="O41" s="155">
        <f t="shared" si="7"/>
        <v>54206019</v>
      </c>
      <c r="P41" s="54">
        <f t="shared" si="7"/>
        <v>54206019</v>
      </c>
      <c r="Q41" s="241">
        <f t="shared" si="7"/>
        <v>30039695.3661897</v>
      </c>
      <c r="R41" s="155">
        <f t="shared" si="7"/>
        <v>60351502</v>
      </c>
      <c r="S41" s="246">
        <f t="shared" si="7"/>
        <v>30239965</v>
      </c>
      <c r="T41" s="54">
        <f t="shared" si="7"/>
        <v>36534648</v>
      </c>
      <c r="U41" s="250">
        <f t="shared" si="7"/>
        <v>39098501</v>
      </c>
      <c r="V41" s="255">
        <f t="shared" si="7"/>
        <v>34521801</v>
      </c>
    </row>
    <row r="42" spans="1:26" ht="15" thickBot="1" x14ac:dyDescent="0.4">
      <c r="A42" s="445"/>
      <c r="B42" s="62" t="s">
        <v>70</v>
      </c>
      <c r="C42" s="63" t="s">
        <v>71</v>
      </c>
      <c r="D42" s="64">
        <v>24003566</v>
      </c>
      <c r="E42" s="64">
        <v>24003566</v>
      </c>
      <c r="F42" s="64">
        <v>24003566</v>
      </c>
      <c r="G42" s="64">
        <v>24003566</v>
      </c>
      <c r="H42" s="65">
        <v>24003567</v>
      </c>
      <c r="I42" s="66">
        <v>24003566</v>
      </c>
      <c r="J42" s="64">
        <v>24003566</v>
      </c>
      <c r="K42" s="64">
        <v>24003567</v>
      </c>
      <c r="L42" s="65">
        <f>K42</f>
        <v>24003567</v>
      </c>
      <c r="M42" s="67">
        <v>24003566</v>
      </c>
      <c r="N42" s="68">
        <v>24003567</v>
      </c>
      <c r="O42" s="157">
        <v>41310249.909090899</v>
      </c>
      <c r="P42" s="69">
        <v>41310249.909090899</v>
      </c>
      <c r="Q42" s="243">
        <f>O42</f>
        <v>41310249.909090899</v>
      </c>
      <c r="R42" s="157">
        <f>O42</f>
        <v>41310249.909090899</v>
      </c>
      <c r="S42" s="248">
        <f>R42</f>
        <v>41310249.909090899</v>
      </c>
      <c r="T42" s="69">
        <f>R42</f>
        <v>41310249.909090899</v>
      </c>
      <c r="U42" s="252">
        <f>T42</f>
        <v>41310249.909090899</v>
      </c>
      <c r="V42" s="256">
        <f>U42*(266/365)</f>
        <v>30105551.988542955</v>
      </c>
    </row>
    <row r="43" spans="1:26" ht="15" thickBot="1" x14ac:dyDescent="0.4">
      <c r="A43" s="446"/>
      <c r="B43" s="70" t="s">
        <v>72</v>
      </c>
      <c r="C43" s="71" t="s">
        <v>73</v>
      </c>
      <c r="D43" s="72">
        <f>D36+D40+D41-D42</f>
        <v>787833</v>
      </c>
      <c r="E43" s="72">
        <f t="shared" ref="E43:V43" si="8">E36+E40+E41-E42</f>
        <v>21473291</v>
      </c>
      <c r="F43" s="72">
        <f t="shared" si="8"/>
        <v>8837332</v>
      </c>
      <c r="G43" s="72">
        <f t="shared" si="8"/>
        <v>-9590260</v>
      </c>
      <c r="H43" s="73">
        <f>H36+H40+H41-H42</f>
        <v>-16536900.333333336</v>
      </c>
      <c r="I43" s="74">
        <f t="shared" si="8"/>
        <v>8615755</v>
      </c>
      <c r="J43" s="75">
        <f t="shared" si="8"/>
        <v>2843031</v>
      </c>
      <c r="K43" s="75">
        <f t="shared" si="8"/>
        <v>-41177798</v>
      </c>
      <c r="L43" s="76">
        <f t="shared" si="8"/>
        <v>-55557002.468106464</v>
      </c>
      <c r="M43" s="77">
        <f t="shared" si="8"/>
        <v>256204</v>
      </c>
      <c r="N43" s="78">
        <f t="shared" si="8"/>
        <v>-30603221</v>
      </c>
      <c r="O43" s="158">
        <f t="shared" si="8"/>
        <v>-17129141.484065156</v>
      </c>
      <c r="P43" s="79">
        <f t="shared" ref="P43:Q43" si="9">P36+P40+P41-P42</f>
        <v>-21554316.835050203</v>
      </c>
      <c r="Q43" s="244">
        <f t="shared" si="9"/>
        <v>-41339335.196299836</v>
      </c>
      <c r="R43" s="158">
        <f>R36+R40+R41-R42</f>
        <v>-17855113.909090899</v>
      </c>
      <c r="S43" s="249">
        <f t="shared" ref="S43" si="10">S36+S40+S41-S42</f>
        <v>-41369621.954467237</v>
      </c>
      <c r="T43" s="79">
        <f t="shared" si="8"/>
        <v>-31923695.954467233</v>
      </c>
      <c r="U43" s="225">
        <f t="shared" si="8"/>
        <v>-32511085.954467233</v>
      </c>
      <c r="V43" s="253">
        <f t="shared" si="8"/>
        <v>-16940538.69980897</v>
      </c>
    </row>
    <row r="44" spans="1:26" ht="15" thickBot="1" x14ac:dyDescent="0.4">
      <c r="A44" s="80"/>
      <c r="B44" s="217" t="s">
        <v>74</v>
      </c>
      <c r="C44" s="218"/>
      <c r="D44" s="219"/>
      <c r="E44" s="219"/>
      <c r="F44" s="219"/>
      <c r="G44" s="219"/>
      <c r="H44" s="220"/>
      <c r="I44" s="81"/>
      <c r="J44" s="82"/>
      <c r="K44" s="82"/>
      <c r="L44" s="221"/>
      <c r="M44" s="83"/>
      <c r="N44" s="84"/>
      <c r="O44" s="159">
        <v>50000000</v>
      </c>
      <c r="P44" s="326">
        <v>50000000</v>
      </c>
      <c r="Q44" s="83">
        <v>0</v>
      </c>
      <c r="R44" s="265">
        <v>0</v>
      </c>
      <c r="S44" s="222"/>
      <c r="T44" s="85">
        <v>0</v>
      </c>
      <c r="U44" s="265">
        <v>0</v>
      </c>
      <c r="V44" s="228"/>
    </row>
    <row r="45" spans="1:26" ht="15" thickBot="1" x14ac:dyDescent="0.4">
      <c r="A45" s="86"/>
      <c r="B45" s="87" t="s">
        <v>75</v>
      </c>
      <c r="C45" s="88" t="s">
        <v>76</v>
      </c>
      <c r="D45" s="89">
        <f>D8-D11+D43</f>
        <v>36902802</v>
      </c>
      <c r="E45" s="89">
        <f>E8-E11+E43</f>
        <v>57588260</v>
      </c>
      <c r="F45" s="89">
        <f>F8-F11+F43</f>
        <v>22649106</v>
      </c>
      <c r="G45" s="89">
        <f>G8-G11+G43</f>
        <v>4221514</v>
      </c>
      <c r="H45" s="90">
        <f>H8-H11+H43</f>
        <v>4438179.6666666642</v>
      </c>
      <c r="I45" s="74">
        <f t="shared" ref="I45:V45" si="11">I8-I11+I43-I44</f>
        <v>16469158</v>
      </c>
      <c r="J45" s="75">
        <f t="shared" si="11"/>
        <v>546237</v>
      </c>
      <c r="K45" s="91">
        <f t="shared" si="11"/>
        <v>1562427</v>
      </c>
      <c r="L45" s="92">
        <f t="shared" si="11"/>
        <v>62737785.531893536</v>
      </c>
      <c r="M45" s="77">
        <f t="shared" si="11"/>
        <v>32442680</v>
      </c>
      <c r="N45" s="78">
        <f t="shared" si="11"/>
        <v>1583255</v>
      </c>
      <c r="O45" s="158">
        <f t="shared" si="11"/>
        <v>0</v>
      </c>
      <c r="P45" s="79">
        <f t="shared" si="11"/>
        <v>8512311.6490149722</v>
      </c>
      <c r="Q45" s="209">
        <f t="shared" si="11"/>
        <v>0.43751046061515808</v>
      </c>
      <c r="R45" s="158">
        <f>R8-R11+R43-R44</f>
        <v>1314470.0909091011</v>
      </c>
      <c r="S45" s="77">
        <f>S8-S11+S43-S44</f>
        <v>4.5532763004302979E-2</v>
      </c>
      <c r="T45" s="79">
        <f t="shared" si="11"/>
        <v>4.5532766729593277E-2</v>
      </c>
      <c r="U45" s="225">
        <f t="shared" si="11"/>
        <v>-6760319.9544672333</v>
      </c>
      <c r="V45" s="253">
        <f t="shared" si="11"/>
        <v>-3544319.6998089701</v>
      </c>
    </row>
    <row r="46" spans="1:26" ht="15" thickBot="1" x14ac:dyDescent="0.4">
      <c r="A46" s="266"/>
      <c r="B46" s="267" t="s">
        <v>77</v>
      </c>
      <c r="C46" s="268"/>
      <c r="D46" s="269"/>
      <c r="E46" s="269"/>
      <c r="F46" s="269"/>
      <c r="G46" s="269"/>
      <c r="H46" s="269"/>
      <c r="I46" s="270"/>
      <c r="J46" s="270"/>
      <c r="K46" s="270"/>
      <c r="L46" s="270"/>
      <c r="M46" s="271"/>
      <c r="N46" s="272"/>
      <c r="O46" s="272"/>
      <c r="P46" s="273"/>
      <c r="Q46" s="274"/>
      <c r="R46" s="273"/>
      <c r="S46" s="271"/>
      <c r="T46" s="273"/>
      <c r="U46" s="275">
        <f>U5+U45</f>
        <v>4.5532766729593277E-2</v>
      </c>
      <c r="V46" s="276">
        <f>V5+V45</f>
        <v>0.30019102990627289</v>
      </c>
    </row>
    <row r="47" spans="1:26" x14ac:dyDescent="0.35">
      <c r="B47" s="93" t="s">
        <v>78</v>
      </c>
      <c r="O47" s="95"/>
      <c r="P47" s="95"/>
    </row>
    <row r="48" spans="1:26" x14ac:dyDescent="0.35">
      <c r="B48" s="93" t="s">
        <v>79</v>
      </c>
      <c r="O48" s="95"/>
      <c r="P48" s="95"/>
    </row>
    <row r="49" spans="2:22" x14ac:dyDescent="0.35">
      <c r="B49" s="93" t="s">
        <v>80</v>
      </c>
      <c r="O49" s="95"/>
      <c r="P49" s="95"/>
    </row>
    <row r="50" spans="2:22" x14ac:dyDescent="0.35">
      <c r="B50" s="93" t="s">
        <v>81</v>
      </c>
      <c r="O50" s="95"/>
      <c r="P50" s="95"/>
    </row>
    <row r="51" spans="2:22" x14ac:dyDescent="0.35">
      <c r="B51" s="93" t="s">
        <v>82</v>
      </c>
      <c r="G51" s="97"/>
      <c r="H51" s="97"/>
      <c r="I51" s="98"/>
      <c r="O51" s="95"/>
      <c r="P51" s="95"/>
    </row>
    <row r="52" spans="2:22" x14ac:dyDescent="0.35">
      <c r="B52" s="93" t="s">
        <v>83</v>
      </c>
      <c r="H52" s="97"/>
      <c r="O52" s="95"/>
      <c r="P52" s="95"/>
      <c r="R52" s="95"/>
      <c r="S52" s="95"/>
      <c r="T52" s="95"/>
      <c r="U52" s="95"/>
      <c r="V52" s="95"/>
    </row>
    <row r="53" spans="2:22" hidden="1" x14ac:dyDescent="0.35">
      <c r="B53" s="4"/>
      <c r="E53" s="97"/>
      <c r="F53" s="97"/>
      <c r="G53" s="99"/>
      <c r="H53" s="99"/>
      <c r="O53" s="95"/>
      <c r="P53" s="95"/>
    </row>
    <row r="54" spans="2:22" ht="15" hidden="1" thickBot="1" x14ac:dyDescent="0.4">
      <c r="B54" s="4"/>
      <c r="D54" s="100" t="s">
        <v>16</v>
      </c>
      <c r="E54" s="101" t="s">
        <v>18</v>
      </c>
      <c r="F54" s="101" t="s">
        <v>84</v>
      </c>
      <c r="G54" s="101" t="s">
        <v>85</v>
      </c>
      <c r="H54" s="101"/>
      <c r="I54" s="101" t="s">
        <v>57</v>
      </c>
      <c r="J54" s="101" t="s">
        <v>86</v>
      </c>
      <c r="K54" s="101"/>
      <c r="L54" s="101"/>
    </row>
    <row r="55" spans="2:22" hidden="1" x14ac:dyDescent="0.35">
      <c r="B55" s="102" t="s">
        <v>87</v>
      </c>
      <c r="C55" s="103"/>
      <c r="D55" s="104">
        <f>D45</f>
        <v>36902802</v>
      </c>
      <c r="E55" s="104">
        <f>E45</f>
        <v>57588260</v>
      </c>
      <c r="F55" s="104">
        <f t="shared" ref="F55:G55" si="12">F45</f>
        <v>22649106</v>
      </c>
      <c r="G55" s="105">
        <f t="shared" si="12"/>
        <v>4221514</v>
      </c>
      <c r="H55" s="106"/>
    </row>
    <row r="56" spans="2:22" ht="15" hidden="1" thickBot="1" x14ac:dyDescent="0.4">
      <c r="B56" s="107" t="s">
        <v>88</v>
      </c>
      <c r="C56" s="108">
        <f>E56+G56</f>
        <v>2257866</v>
      </c>
      <c r="D56" s="109" t="s">
        <v>89</v>
      </c>
      <c r="E56" s="110">
        <f>E55-D55</f>
        <v>20685458</v>
      </c>
      <c r="F56" s="109" t="s">
        <v>90</v>
      </c>
      <c r="G56" s="111">
        <f>G55-F55</f>
        <v>-18427592</v>
      </c>
      <c r="H56" s="112"/>
    </row>
    <row r="57" spans="2:22" ht="15" hidden="1" thickBot="1" x14ac:dyDescent="0.4">
      <c r="B57" s="4"/>
    </row>
    <row r="58" spans="2:22" hidden="1" x14ac:dyDescent="0.35">
      <c r="B58" s="103" t="s">
        <v>91</v>
      </c>
      <c r="C58" s="113"/>
      <c r="D58" s="114"/>
      <c r="E58" s="114"/>
      <c r="F58" s="114"/>
      <c r="G58" s="114"/>
      <c r="H58" s="114"/>
      <c r="I58" s="115">
        <f>O45</f>
        <v>0</v>
      </c>
      <c r="J58" s="105">
        <f>J45</f>
        <v>546237</v>
      </c>
      <c r="K58" s="106"/>
      <c r="L58" s="106"/>
    </row>
    <row r="59" spans="2:22" ht="15" hidden="1" thickBot="1" x14ac:dyDescent="0.4">
      <c r="B59" s="116" t="s">
        <v>92</v>
      </c>
      <c r="C59" s="117"/>
      <c r="D59" s="118"/>
      <c r="E59" s="119"/>
      <c r="F59" s="119"/>
      <c r="G59" s="119"/>
      <c r="H59" s="119"/>
      <c r="I59" s="120" t="s">
        <v>93</v>
      </c>
      <c r="J59" s="111">
        <f>J58-I58</f>
        <v>546237</v>
      </c>
      <c r="K59" s="112"/>
      <c r="L59" s="112"/>
    </row>
    <row r="60" spans="2:22" hidden="1" x14ac:dyDescent="0.35">
      <c r="B60" s="4"/>
      <c r="D60" s="121"/>
    </row>
    <row r="61" spans="2:22" ht="15" thickBot="1" x14ac:dyDescent="0.4">
      <c r="B61" s="122"/>
      <c r="C61" s="123"/>
      <c r="D61" s="124"/>
      <c r="E61" s="125"/>
      <c r="F61" s="125"/>
      <c r="G61" s="125"/>
      <c r="H61" s="125"/>
      <c r="I61" s="125"/>
      <c r="J61" s="125"/>
      <c r="K61" s="125"/>
      <c r="L61" s="125"/>
      <c r="M61" s="125"/>
    </row>
    <row r="62" spans="2:22" x14ac:dyDescent="0.35">
      <c r="O62" s="95"/>
      <c r="P62" s="95"/>
      <c r="R62" s="95"/>
      <c r="S62" s="95"/>
      <c r="T62" s="95"/>
      <c r="U62" s="95"/>
      <c r="V62" s="95"/>
    </row>
    <row r="64" spans="2:22" x14ac:dyDescent="0.35">
      <c r="N64" s="126"/>
      <c r="R64" s="95"/>
      <c r="S64" s="95"/>
      <c r="T64" s="95"/>
      <c r="U64" s="95"/>
      <c r="V64" s="95"/>
    </row>
  </sheetData>
  <mergeCells count="12">
    <mergeCell ref="S1:T1"/>
    <mergeCell ref="A6:A10"/>
    <mergeCell ref="A11:A33"/>
    <mergeCell ref="A35:A43"/>
    <mergeCell ref="Q1:R1"/>
    <mergeCell ref="M1:P1"/>
    <mergeCell ref="A1:A2"/>
    <mergeCell ref="C1:C2"/>
    <mergeCell ref="D1:E1"/>
    <mergeCell ref="F1:H1"/>
    <mergeCell ref="I1:L1"/>
    <mergeCell ref="A3:A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41"/>
  <sheetViews>
    <sheetView topLeftCell="A12" workbookViewId="0">
      <selection activeCell="L30" sqref="L30"/>
    </sheetView>
  </sheetViews>
  <sheetFormatPr defaultRowHeight="15.5" x14ac:dyDescent="0.35"/>
  <cols>
    <col min="1" max="1" width="18.453125" style="153" customWidth="1"/>
    <col min="2" max="2" width="8.90625" style="153" bestFit="1" customWidth="1"/>
    <col min="3" max="3" width="20.54296875" style="153" customWidth="1"/>
    <col min="4" max="4" width="18.08984375" style="153" customWidth="1"/>
    <col min="5" max="5" width="19.08984375" style="153" customWidth="1"/>
    <col min="6" max="6" width="16.90625" style="153" customWidth="1"/>
    <col min="7" max="7" width="21.08984375" style="153" customWidth="1"/>
    <col min="8" max="8" width="17.453125" style="153" customWidth="1"/>
    <col min="9" max="9" width="14.36328125" style="153" bestFit="1" customWidth="1"/>
    <col min="10" max="10" width="18.08984375" style="153" customWidth="1"/>
    <col min="11" max="16" width="8.90625" style="153"/>
  </cols>
  <sheetData>
    <row r="2" spans="1:12" x14ac:dyDescent="0.35">
      <c r="A2" s="466" t="s">
        <v>94</v>
      </c>
      <c r="B2" s="466"/>
      <c r="C2" s="466"/>
      <c r="D2" s="466"/>
      <c r="E2" s="466"/>
      <c r="F2" s="466"/>
      <c r="G2" s="466"/>
      <c r="H2" s="466"/>
    </row>
    <row r="4" spans="1:12" ht="30" x14ac:dyDescent="0.35">
      <c r="A4" s="163" t="s">
        <v>95</v>
      </c>
      <c r="B4" s="164">
        <v>100</v>
      </c>
      <c r="C4" s="165" t="s">
        <v>96</v>
      </c>
      <c r="D4" s="166"/>
      <c r="E4" s="166"/>
      <c r="F4" s="166"/>
      <c r="G4" s="166"/>
      <c r="H4" s="166"/>
      <c r="I4" s="166"/>
      <c r="J4" s="166"/>
      <c r="K4" s="166"/>
      <c r="L4" s="166"/>
    </row>
    <row r="5" spans="1:12" ht="30" x14ac:dyDescent="0.35">
      <c r="A5" s="190" t="s">
        <v>97</v>
      </c>
      <c r="B5" s="167">
        <v>9.6999999999999993</v>
      </c>
      <c r="C5" s="168" t="s">
        <v>98</v>
      </c>
      <c r="D5" s="169"/>
      <c r="E5" s="169"/>
      <c r="F5" s="170"/>
      <c r="G5" s="170"/>
      <c r="H5" s="170"/>
      <c r="I5" s="170"/>
      <c r="J5" s="170"/>
      <c r="K5" s="170"/>
      <c r="L5" s="170"/>
    </row>
    <row r="6" spans="1:12" ht="45" x14ac:dyDescent="0.35">
      <c r="A6" s="190" t="s">
        <v>99</v>
      </c>
      <c r="B6" s="167">
        <v>9.77</v>
      </c>
      <c r="C6" s="168" t="s">
        <v>98</v>
      </c>
      <c r="D6" s="169"/>
      <c r="E6" s="169"/>
      <c r="F6" s="170"/>
      <c r="G6" s="170"/>
      <c r="H6" s="170"/>
      <c r="I6" s="170"/>
      <c r="J6" s="170"/>
      <c r="K6" s="170"/>
      <c r="L6" s="170"/>
    </row>
    <row r="7" spans="1:12" ht="45" x14ac:dyDescent="0.35">
      <c r="A7" s="190" t="s">
        <v>100</v>
      </c>
      <c r="B7" s="167">
        <v>4.6500000000000004</v>
      </c>
      <c r="C7" s="168" t="s">
        <v>98</v>
      </c>
      <c r="D7" s="169"/>
      <c r="E7" s="169"/>
      <c r="F7" s="170"/>
      <c r="G7" s="170"/>
      <c r="H7" s="170"/>
      <c r="I7" s="170"/>
      <c r="J7" s="170"/>
      <c r="K7" s="170"/>
      <c r="L7" s="170"/>
    </row>
    <row r="8" spans="1:12" ht="45" x14ac:dyDescent="0.35">
      <c r="A8" s="190" t="s">
        <v>101</v>
      </c>
      <c r="B8" s="464" t="s">
        <v>102</v>
      </c>
      <c r="C8" s="465"/>
      <c r="D8" s="170"/>
      <c r="E8" s="170"/>
      <c r="F8" s="170"/>
      <c r="G8" s="170"/>
      <c r="H8" s="170"/>
      <c r="I8" s="170"/>
      <c r="J8" s="170"/>
      <c r="K8" s="170"/>
      <c r="L8" s="170"/>
    </row>
    <row r="9" spans="1:12" x14ac:dyDescent="0.35">
      <c r="A9" s="170"/>
      <c r="B9" s="171"/>
      <c r="C9" s="170"/>
      <c r="D9" s="170"/>
      <c r="E9" s="170"/>
      <c r="F9" s="170"/>
      <c r="G9" s="170"/>
      <c r="H9" s="170"/>
      <c r="I9" s="170"/>
      <c r="J9" s="170"/>
      <c r="K9" s="170"/>
      <c r="L9" s="170"/>
    </row>
    <row r="10" spans="1:12" x14ac:dyDescent="0.35">
      <c r="A10" s="170"/>
      <c r="B10" s="171"/>
      <c r="C10" s="462" t="s">
        <v>103</v>
      </c>
      <c r="D10" s="462"/>
      <c r="E10" s="462"/>
      <c r="F10" s="463" t="s">
        <v>104</v>
      </c>
      <c r="G10" s="463"/>
      <c r="H10" s="463"/>
      <c r="I10" s="170"/>
      <c r="J10" s="170"/>
      <c r="K10" s="170"/>
      <c r="L10" s="170"/>
    </row>
    <row r="11" spans="1:12" ht="90" x14ac:dyDescent="0.35">
      <c r="A11" s="172" t="s">
        <v>105</v>
      </c>
      <c r="B11" s="173" t="s">
        <v>106</v>
      </c>
      <c r="C11" s="174" t="s">
        <v>107</v>
      </c>
      <c r="D11" s="174" t="s">
        <v>108</v>
      </c>
      <c r="E11" s="174" t="s">
        <v>109</v>
      </c>
      <c r="F11" s="172" t="s">
        <v>110</v>
      </c>
      <c r="G11" s="172" t="s">
        <v>108</v>
      </c>
      <c r="H11" s="172" t="s">
        <v>111</v>
      </c>
      <c r="I11" s="175"/>
      <c r="J11" s="175"/>
      <c r="K11" s="175"/>
      <c r="L11" s="175"/>
    </row>
    <row r="12" spans="1:12" x14ac:dyDescent="0.35">
      <c r="A12" s="176">
        <v>44986</v>
      </c>
      <c r="B12" s="177">
        <v>31</v>
      </c>
      <c r="C12" s="178">
        <f>$B$4*B12*24*$B$5</f>
        <v>721680</v>
      </c>
      <c r="D12" s="178">
        <f>ROUND(C12*21%,2)</f>
        <v>151552.79999999999</v>
      </c>
      <c r="E12" s="178">
        <f>C12+D12</f>
        <v>873232.8</v>
      </c>
      <c r="F12" s="179">
        <v>0</v>
      </c>
      <c r="G12" s="179">
        <v>0</v>
      </c>
      <c r="H12" s="180"/>
      <c r="I12" s="170"/>
      <c r="J12" s="170"/>
      <c r="K12" s="170"/>
      <c r="L12" s="170"/>
    </row>
    <row r="13" spans="1:12" x14ac:dyDescent="0.35">
      <c r="A13" s="176">
        <v>45017</v>
      </c>
      <c r="B13" s="177">
        <v>30</v>
      </c>
      <c r="C13" s="178">
        <f t="shared" ref="C13:C23" si="0">$B$4*B13*24*$B$5</f>
        <v>698400</v>
      </c>
      <c r="D13" s="178">
        <f t="shared" ref="D13:D34" si="1">ROUND(C13*21%,2)</f>
        <v>146664</v>
      </c>
      <c r="E13" s="178">
        <f t="shared" ref="E13:E34" si="2">C13+D13</f>
        <v>845064</v>
      </c>
      <c r="F13" s="179">
        <v>0</v>
      </c>
      <c r="G13" s="179">
        <v>0</v>
      </c>
      <c r="H13" s="180"/>
      <c r="I13" s="170"/>
      <c r="J13" s="170"/>
      <c r="K13" s="170"/>
      <c r="L13" s="170"/>
    </row>
    <row r="14" spans="1:12" x14ac:dyDescent="0.35">
      <c r="A14" s="176">
        <v>45047</v>
      </c>
      <c r="B14" s="177">
        <v>31</v>
      </c>
      <c r="C14" s="178">
        <f t="shared" si="0"/>
        <v>721680</v>
      </c>
      <c r="D14" s="178">
        <f t="shared" si="1"/>
        <v>151552.79999999999</v>
      </c>
      <c r="E14" s="178">
        <f t="shared" si="2"/>
        <v>873232.8</v>
      </c>
      <c r="F14" s="179">
        <v>0</v>
      </c>
      <c r="G14" s="179">
        <v>0</v>
      </c>
      <c r="H14" s="180"/>
      <c r="I14" s="170"/>
      <c r="J14" s="170"/>
      <c r="K14" s="170"/>
      <c r="L14" s="170"/>
    </row>
    <row r="15" spans="1:12" x14ac:dyDescent="0.35">
      <c r="A15" s="176">
        <v>45078</v>
      </c>
      <c r="B15" s="177">
        <v>30</v>
      </c>
      <c r="C15" s="178">
        <f t="shared" si="0"/>
        <v>698400</v>
      </c>
      <c r="D15" s="178">
        <f t="shared" si="1"/>
        <v>146664</v>
      </c>
      <c r="E15" s="178">
        <f t="shared" si="2"/>
        <v>845064</v>
      </c>
      <c r="F15" s="179">
        <v>0</v>
      </c>
      <c r="G15" s="179">
        <v>0</v>
      </c>
      <c r="H15" s="180"/>
      <c r="I15" s="170"/>
      <c r="J15" s="170"/>
      <c r="K15" s="170"/>
      <c r="L15" s="170"/>
    </row>
    <row r="16" spans="1:12" x14ac:dyDescent="0.35">
      <c r="A16" s="176">
        <v>45108</v>
      </c>
      <c r="B16" s="177">
        <v>31</v>
      </c>
      <c r="C16" s="178">
        <f>$B$4*B16*24*$B$5</f>
        <v>721680</v>
      </c>
      <c r="D16" s="178">
        <f t="shared" si="1"/>
        <v>151552.79999999999</v>
      </c>
      <c r="E16" s="178">
        <f t="shared" si="2"/>
        <v>873232.8</v>
      </c>
      <c r="F16" s="181">
        <f t="shared" ref="F16:F21" si="3">$B$4*B16*24*($B$5-$B$7)</f>
        <v>375719.99999999994</v>
      </c>
      <c r="G16" s="181">
        <f>ROUND(F16*21%,2)</f>
        <v>78901.2</v>
      </c>
      <c r="H16" s="181">
        <f>F16+G16</f>
        <v>454621.19999999995</v>
      </c>
      <c r="I16" s="170"/>
      <c r="J16" s="170"/>
      <c r="K16" s="170"/>
      <c r="L16" s="170"/>
    </row>
    <row r="17" spans="1:12" x14ac:dyDescent="0.35">
      <c r="A17" s="176">
        <v>45139</v>
      </c>
      <c r="B17" s="177">
        <v>31</v>
      </c>
      <c r="C17" s="178">
        <f t="shared" si="0"/>
        <v>721680</v>
      </c>
      <c r="D17" s="178">
        <f t="shared" si="1"/>
        <v>151552.79999999999</v>
      </c>
      <c r="E17" s="178">
        <f t="shared" si="2"/>
        <v>873232.8</v>
      </c>
      <c r="F17" s="181">
        <f t="shared" si="3"/>
        <v>375719.99999999994</v>
      </c>
      <c r="G17" s="181">
        <f t="shared" ref="G17:G34" si="4">ROUND(F17*21%,2)</f>
        <v>78901.2</v>
      </c>
      <c r="H17" s="181">
        <f t="shared" ref="H17:H33" si="5">F17+G17</f>
        <v>454621.19999999995</v>
      </c>
      <c r="I17" s="170"/>
      <c r="J17" s="170"/>
      <c r="K17" s="170"/>
      <c r="L17" s="170"/>
    </row>
    <row r="18" spans="1:12" x14ac:dyDescent="0.35">
      <c r="A18" s="176">
        <v>45170</v>
      </c>
      <c r="B18" s="177">
        <v>30</v>
      </c>
      <c r="C18" s="178">
        <f t="shared" si="0"/>
        <v>698400</v>
      </c>
      <c r="D18" s="178">
        <f t="shared" si="1"/>
        <v>146664</v>
      </c>
      <c r="E18" s="178">
        <f t="shared" si="2"/>
        <v>845064</v>
      </c>
      <c r="F18" s="181">
        <f t="shared" si="3"/>
        <v>363599.99999999994</v>
      </c>
      <c r="G18" s="181">
        <f t="shared" si="4"/>
        <v>76356</v>
      </c>
      <c r="H18" s="181">
        <f t="shared" si="5"/>
        <v>439955.99999999994</v>
      </c>
      <c r="I18" s="170"/>
      <c r="J18" s="170"/>
      <c r="K18" s="170"/>
      <c r="L18" s="170"/>
    </row>
    <row r="19" spans="1:12" x14ac:dyDescent="0.35">
      <c r="A19" s="176">
        <v>45200</v>
      </c>
      <c r="B19" s="177">
        <v>31</v>
      </c>
      <c r="C19" s="178">
        <f t="shared" si="0"/>
        <v>721680</v>
      </c>
      <c r="D19" s="178">
        <f t="shared" si="1"/>
        <v>151552.79999999999</v>
      </c>
      <c r="E19" s="178">
        <f t="shared" si="2"/>
        <v>873232.8</v>
      </c>
      <c r="F19" s="181">
        <f t="shared" si="3"/>
        <v>375719.99999999994</v>
      </c>
      <c r="G19" s="181">
        <f t="shared" si="4"/>
        <v>78901.2</v>
      </c>
      <c r="H19" s="181">
        <f t="shared" si="5"/>
        <v>454621.19999999995</v>
      </c>
      <c r="I19" s="170"/>
      <c r="J19" s="170"/>
      <c r="K19" s="170"/>
      <c r="L19" s="170"/>
    </row>
    <row r="20" spans="1:12" x14ac:dyDescent="0.35">
      <c r="A20" s="176">
        <v>45231</v>
      </c>
      <c r="B20" s="177">
        <v>30</v>
      </c>
      <c r="C20" s="178">
        <f t="shared" si="0"/>
        <v>698400</v>
      </c>
      <c r="D20" s="178">
        <f t="shared" si="1"/>
        <v>146664</v>
      </c>
      <c r="E20" s="178">
        <f t="shared" si="2"/>
        <v>845064</v>
      </c>
      <c r="F20" s="181">
        <f t="shared" si="3"/>
        <v>363599.99999999994</v>
      </c>
      <c r="G20" s="181">
        <f t="shared" si="4"/>
        <v>76356</v>
      </c>
      <c r="H20" s="181">
        <f t="shared" si="5"/>
        <v>439955.99999999994</v>
      </c>
      <c r="I20" s="170"/>
      <c r="J20" s="170"/>
      <c r="K20" s="170"/>
      <c r="L20" s="170"/>
    </row>
    <row r="21" spans="1:12" x14ac:dyDescent="0.35">
      <c r="A21" s="176">
        <v>45261</v>
      </c>
      <c r="B21" s="177">
        <v>31</v>
      </c>
      <c r="C21" s="178">
        <f t="shared" si="0"/>
        <v>721680</v>
      </c>
      <c r="D21" s="178">
        <f t="shared" si="1"/>
        <v>151552.79999999999</v>
      </c>
      <c r="E21" s="178">
        <f t="shared" si="2"/>
        <v>873232.8</v>
      </c>
      <c r="F21" s="181">
        <f t="shared" si="3"/>
        <v>375719.99999999994</v>
      </c>
      <c r="G21" s="181">
        <f t="shared" si="4"/>
        <v>78901.2</v>
      </c>
      <c r="H21" s="181">
        <f t="shared" si="5"/>
        <v>454621.19999999995</v>
      </c>
      <c r="I21" s="170"/>
      <c r="J21" s="170"/>
      <c r="K21" s="170"/>
      <c r="L21" s="170"/>
    </row>
    <row r="22" spans="1:12" x14ac:dyDescent="0.35">
      <c r="A22" s="182" t="s">
        <v>112</v>
      </c>
      <c r="B22" s="183"/>
      <c r="C22" s="184">
        <f>SUM(C12:C21)</f>
        <v>7123680</v>
      </c>
      <c r="D22" s="184">
        <f t="shared" si="1"/>
        <v>1495972.8</v>
      </c>
      <c r="E22" s="184">
        <f t="shared" si="2"/>
        <v>8619652.8000000007</v>
      </c>
      <c r="F22" s="185">
        <f>SUM(F12:F21)</f>
        <v>2230079.9999999995</v>
      </c>
      <c r="G22" s="185">
        <f t="shared" si="4"/>
        <v>468316.8</v>
      </c>
      <c r="H22" s="185">
        <f t="shared" si="5"/>
        <v>2698396.7999999993</v>
      </c>
      <c r="I22" s="186"/>
      <c r="J22" s="187"/>
      <c r="K22" s="186"/>
      <c r="L22" s="186"/>
    </row>
    <row r="23" spans="1:12" x14ac:dyDescent="0.35">
      <c r="A23" s="176">
        <v>45292</v>
      </c>
      <c r="B23" s="177">
        <v>31</v>
      </c>
      <c r="C23" s="178">
        <f t="shared" si="0"/>
        <v>721680</v>
      </c>
      <c r="D23" s="178">
        <f t="shared" si="1"/>
        <v>151552.79999999999</v>
      </c>
      <c r="E23" s="178">
        <f t="shared" si="2"/>
        <v>873232.8</v>
      </c>
      <c r="F23" s="181">
        <f>$B$4*B23*24*($B$5-$B$7)</f>
        <v>375719.99999999994</v>
      </c>
      <c r="G23" s="181">
        <f t="shared" si="4"/>
        <v>78901.2</v>
      </c>
      <c r="H23" s="181">
        <f t="shared" si="5"/>
        <v>454621.19999999995</v>
      </c>
      <c r="I23" s="170"/>
      <c r="J23" s="170"/>
      <c r="K23" s="170"/>
      <c r="L23" s="170"/>
    </row>
    <row r="24" spans="1:12" x14ac:dyDescent="0.35">
      <c r="A24" s="176">
        <v>45323</v>
      </c>
      <c r="B24" s="177">
        <v>29</v>
      </c>
      <c r="C24" s="178">
        <f>$B$4*B24*24*$B$5</f>
        <v>675120</v>
      </c>
      <c r="D24" s="178">
        <f t="shared" si="1"/>
        <v>141775.20000000001</v>
      </c>
      <c r="E24" s="178">
        <f t="shared" si="2"/>
        <v>816895.2</v>
      </c>
      <c r="F24" s="181">
        <f>$B$4*B24*24*($B$5-$B$7)</f>
        <v>351479.99999999994</v>
      </c>
      <c r="G24" s="181">
        <f t="shared" si="4"/>
        <v>73810.8</v>
      </c>
      <c r="H24" s="181">
        <f t="shared" si="5"/>
        <v>425290.79999999993</v>
      </c>
      <c r="I24" s="170"/>
      <c r="J24" s="171">
        <f>SUM(H16:H21,H23:H34)</f>
        <v>8115663.5999999987</v>
      </c>
      <c r="K24" s="170"/>
      <c r="L24" s="170"/>
    </row>
    <row r="25" spans="1:12" x14ac:dyDescent="0.35">
      <c r="A25" s="176">
        <v>45352</v>
      </c>
      <c r="B25" s="177">
        <v>31</v>
      </c>
      <c r="C25" s="178">
        <f>$B$4*B25*24*$B$5</f>
        <v>721680</v>
      </c>
      <c r="D25" s="178">
        <f t="shared" si="1"/>
        <v>151552.79999999999</v>
      </c>
      <c r="E25" s="178">
        <f t="shared" si="2"/>
        <v>873232.8</v>
      </c>
      <c r="F25" s="181">
        <f>$B$4*B25*24*($B$5-$B$7)</f>
        <v>375719.99999999994</v>
      </c>
      <c r="G25" s="181">
        <f t="shared" si="4"/>
        <v>78901.2</v>
      </c>
      <c r="H25" s="181">
        <f t="shared" si="5"/>
        <v>454621.19999999995</v>
      </c>
      <c r="I25" s="170"/>
      <c r="J25" s="170"/>
      <c r="K25" s="170"/>
      <c r="L25" s="170"/>
    </row>
    <row r="26" spans="1:12" x14ac:dyDescent="0.35">
      <c r="A26" s="176">
        <v>45383</v>
      </c>
      <c r="B26" s="177">
        <v>30</v>
      </c>
      <c r="C26" s="178">
        <f>$B$4*B26*24*$B$5</f>
        <v>698400</v>
      </c>
      <c r="D26" s="178">
        <f>ROUND(C26*21%,2)</f>
        <v>146664</v>
      </c>
      <c r="E26" s="178">
        <f>C26+D26</f>
        <v>845064</v>
      </c>
      <c r="F26" s="181">
        <f>$B$4*B26*24*($B$5-$B$7)</f>
        <v>363599.99999999994</v>
      </c>
      <c r="G26" s="181">
        <f t="shared" si="4"/>
        <v>76356</v>
      </c>
      <c r="H26" s="181">
        <f t="shared" si="5"/>
        <v>439955.99999999994</v>
      </c>
      <c r="I26" s="170"/>
      <c r="J26" s="170"/>
      <c r="K26" s="170"/>
      <c r="L26" s="170"/>
    </row>
    <row r="27" spans="1:12" x14ac:dyDescent="0.35">
      <c r="A27" s="176">
        <v>45413</v>
      </c>
      <c r="B27" s="177">
        <v>31</v>
      </c>
      <c r="C27" s="178">
        <f>$B$4*B27*24*$B$6</f>
        <v>726888</v>
      </c>
      <c r="D27" s="178">
        <f t="shared" si="1"/>
        <v>152646.48000000001</v>
      </c>
      <c r="E27" s="178">
        <f t="shared" si="2"/>
        <v>879534.48</v>
      </c>
      <c r="F27" s="181">
        <f>$B$4*B27*24*($B$6-$B$7)</f>
        <v>380927.99999999994</v>
      </c>
      <c r="G27" s="181">
        <f t="shared" si="4"/>
        <v>79994.880000000005</v>
      </c>
      <c r="H27" s="181">
        <f t="shared" si="5"/>
        <v>460922.87999999995</v>
      </c>
      <c r="I27" s="170"/>
      <c r="J27" s="170"/>
      <c r="K27" s="170"/>
      <c r="L27" s="170"/>
    </row>
    <row r="28" spans="1:12" x14ac:dyDescent="0.35">
      <c r="A28" s="176">
        <v>45444</v>
      </c>
      <c r="B28" s="177">
        <v>30</v>
      </c>
      <c r="C28" s="178">
        <f t="shared" ref="C28:C33" si="6">$B$4*B28*24*$B$6</f>
        <v>703440</v>
      </c>
      <c r="D28" s="178">
        <f>ROUND(C28*21%,2)</f>
        <v>147722.4</v>
      </c>
      <c r="E28" s="178">
        <f>C28+D28</f>
        <v>851162.4</v>
      </c>
      <c r="F28" s="181">
        <f t="shared" ref="F28:F34" si="7">$B$4*B28*24*($B$6-$B$7)</f>
        <v>368639.99999999994</v>
      </c>
      <c r="G28" s="181">
        <f>ROUND(F28*21%,2)</f>
        <v>77414.399999999994</v>
      </c>
      <c r="H28" s="181">
        <f>F28+G28</f>
        <v>446054.39999999991</v>
      </c>
      <c r="I28" s="170"/>
      <c r="J28" s="170"/>
      <c r="K28" s="170"/>
      <c r="L28" s="170"/>
    </row>
    <row r="29" spans="1:12" x14ac:dyDescent="0.35">
      <c r="A29" s="176">
        <v>45474</v>
      </c>
      <c r="B29" s="177">
        <v>31</v>
      </c>
      <c r="C29" s="178">
        <f>$B$4*B29*24*$B$6</f>
        <v>726888</v>
      </c>
      <c r="D29" s="178">
        <f t="shared" si="1"/>
        <v>152646.48000000001</v>
      </c>
      <c r="E29" s="178">
        <f t="shared" si="2"/>
        <v>879534.48</v>
      </c>
      <c r="F29" s="181">
        <f>$B$4*B29*24*($B$6-$B$7)</f>
        <v>380927.99999999994</v>
      </c>
      <c r="G29" s="181">
        <f t="shared" si="4"/>
        <v>79994.880000000005</v>
      </c>
      <c r="H29" s="181">
        <f t="shared" si="5"/>
        <v>460922.87999999995</v>
      </c>
      <c r="I29" s="170"/>
      <c r="J29" s="170"/>
      <c r="K29" s="170"/>
      <c r="L29" s="170"/>
    </row>
    <row r="30" spans="1:12" x14ac:dyDescent="0.35">
      <c r="A30" s="176">
        <v>45505</v>
      </c>
      <c r="B30" s="177">
        <v>31</v>
      </c>
      <c r="C30" s="178">
        <f>$B$4*B30*24*$B$6</f>
        <v>726888</v>
      </c>
      <c r="D30" s="178">
        <f t="shared" si="1"/>
        <v>152646.48000000001</v>
      </c>
      <c r="E30" s="178">
        <f t="shared" si="2"/>
        <v>879534.48</v>
      </c>
      <c r="F30" s="181">
        <f>$B$4*B30*24*($B$6-$B$7)</f>
        <v>380927.99999999994</v>
      </c>
      <c r="G30" s="181">
        <f t="shared" si="4"/>
        <v>79994.880000000005</v>
      </c>
      <c r="H30" s="181">
        <f t="shared" si="5"/>
        <v>460922.87999999995</v>
      </c>
      <c r="I30" s="170"/>
      <c r="J30" s="170"/>
      <c r="K30" s="170"/>
      <c r="L30" s="170"/>
    </row>
    <row r="31" spans="1:12" x14ac:dyDescent="0.35">
      <c r="A31" s="176">
        <v>45536</v>
      </c>
      <c r="B31" s="177">
        <v>30</v>
      </c>
      <c r="C31" s="178">
        <f t="shared" si="6"/>
        <v>703440</v>
      </c>
      <c r="D31" s="178">
        <f t="shared" si="1"/>
        <v>147722.4</v>
      </c>
      <c r="E31" s="178">
        <f t="shared" si="2"/>
        <v>851162.4</v>
      </c>
      <c r="F31" s="181">
        <f t="shared" si="7"/>
        <v>368639.99999999994</v>
      </c>
      <c r="G31" s="181">
        <f t="shared" si="4"/>
        <v>77414.399999999994</v>
      </c>
      <c r="H31" s="181">
        <f>F31+G31</f>
        <v>446054.39999999991</v>
      </c>
      <c r="I31" s="170"/>
      <c r="J31" s="170"/>
      <c r="K31" s="170"/>
      <c r="L31" s="170"/>
    </row>
    <row r="32" spans="1:12" x14ac:dyDescent="0.35">
      <c r="A32" s="176">
        <v>45566</v>
      </c>
      <c r="B32" s="177">
        <v>31</v>
      </c>
      <c r="C32" s="178">
        <f t="shared" si="6"/>
        <v>726888</v>
      </c>
      <c r="D32" s="178">
        <f t="shared" si="1"/>
        <v>152646.48000000001</v>
      </c>
      <c r="E32" s="178">
        <f t="shared" si="2"/>
        <v>879534.48</v>
      </c>
      <c r="F32" s="181">
        <f>$B$4*B32*24*($B$6-$B$7)</f>
        <v>380927.99999999994</v>
      </c>
      <c r="G32" s="181">
        <f t="shared" si="4"/>
        <v>79994.880000000005</v>
      </c>
      <c r="H32" s="181">
        <f t="shared" si="5"/>
        <v>460922.87999999995</v>
      </c>
      <c r="I32" s="170"/>
      <c r="J32" s="170"/>
      <c r="K32" s="170"/>
      <c r="L32" s="170"/>
    </row>
    <row r="33" spans="1:12" x14ac:dyDescent="0.35">
      <c r="A33" s="176">
        <v>45597</v>
      </c>
      <c r="B33" s="177">
        <v>30</v>
      </c>
      <c r="C33" s="178">
        <f t="shared" si="6"/>
        <v>703440</v>
      </c>
      <c r="D33" s="178">
        <f t="shared" si="1"/>
        <v>147722.4</v>
      </c>
      <c r="E33" s="178">
        <f t="shared" si="2"/>
        <v>851162.4</v>
      </c>
      <c r="F33" s="181">
        <f>$B$4*B33*24*($B$6-$B$7)</f>
        <v>368639.99999999994</v>
      </c>
      <c r="G33" s="181">
        <f t="shared" si="4"/>
        <v>77414.399999999994</v>
      </c>
      <c r="H33" s="181">
        <f t="shared" si="5"/>
        <v>446054.39999999991</v>
      </c>
      <c r="I33" s="170"/>
      <c r="J33" s="170"/>
      <c r="K33" s="170"/>
      <c r="L33" s="170"/>
    </row>
    <row r="34" spans="1:12" x14ac:dyDescent="0.35">
      <c r="A34" s="176">
        <v>45627</v>
      </c>
      <c r="B34" s="177">
        <v>31</v>
      </c>
      <c r="C34" s="178">
        <f>$B$4*B34*24*$B$6</f>
        <v>726888</v>
      </c>
      <c r="D34" s="178">
        <f t="shared" si="1"/>
        <v>152646.48000000001</v>
      </c>
      <c r="E34" s="178">
        <f t="shared" si="2"/>
        <v>879534.48</v>
      </c>
      <c r="F34" s="181">
        <f t="shared" si="7"/>
        <v>380927.99999999994</v>
      </c>
      <c r="G34" s="181">
        <f t="shared" si="4"/>
        <v>79994.880000000005</v>
      </c>
      <c r="H34" s="181">
        <f>F34+G34</f>
        <v>460922.87999999995</v>
      </c>
      <c r="I34" s="170"/>
      <c r="J34" s="170"/>
      <c r="K34" s="170"/>
      <c r="L34" s="170"/>
    </row>
    <row r="35" spans="1:12" x14ac:dyDescent="0.35">
      <c r="A35" s="182" t="s">
        <v>113</v>
      </c>
      <c r="B35" s="177"/>
      <c r="C35" s="184">
        <f>SUM(C23:C34)</f>
        <v>8561640</v>
      </c>
      <c r="D35" s="184">
        <f t="shared" ref="D35:H35" si="8">SUM(D23:D34)</f>
        <v>1797944.4</v>
      </c>
      <c r="E35" s="184">
        <f t="shared" si="8"/>
        <v>10359584.400000002</v>
      </c>
      <c r="F35" s="184">
        <f t="shared" si="8"/>
        <v>4477079.9999999991</v>
      </c>
      <c r="G35" s="184">
        <f t="shared" si="8"/>
        <v>940186.8</v>
      </c>
      <c r="H35" s="184">
        <f t="shared" si="8"/>
        <v>5417266.7999999998</v>
      </c>
      <c r="I35" s="171"/>
      <c r="J35" s="170"/>
      <c r="K35" s="170"/>
      <c r="L35" s="170"/>
    </row>
    <row r="36" spans="1:12" x14ac:dyDescent="0.35">
      <c r="A36" s="188"/>
      <c r="B36" s="185"/>
      <c r="C36" s="184">
        <f>SUM(C22:C34)</f>
        <v>15685320</v>
      </c>
      <c r="D36" s="184">
        <f>SUM(D22:D34)</f>
        <v>3293917.1999999997</v>
      </c>
      <c r="E36" s="184">
        <f>SUM(E22:E34)</f>
        <v>18979237.200000003</v>
      </c>
      <c r="F36" s="185">
        <f>SUM(F22:F34)</f>
        <v>6707159.9999999991</v>
      </c>
      <c r="G36" s="185">
        <f>SUM(G22:G34)</f>
        <v>1408503.5999999996</v>
      </c>
      <c r="H36" s="189">
        <f>F36+G36</f>
        <v>8115663.5999999987</v>
      </c>
      <c r="I36" s="186"/>
      <c r="J36" s="186"/>
      <c r="K36" s="186"/>
      <c r="L36" s="186"/>
    </row>
    <row r="37" spans="1:12" x14ac:dyDescent="0.35">
      <c r="A37" s="170" t="s">
        <v>114</v>
      </c>
      <c r="B37" s="171"/>
      <c r="C37" s="170"/>
      <c r="D37" s="170"/>
      <c r="E37" s="170"/>
      <c r="F37" s="170"/>
      <c r="G37" s="170"/>
      <c r="H37" s="170"/>
      <c r="I37" s="170"/>
      <c r="J37" s="170"/>
      <c r="K37" s="170"/>
      <c r="L37" s="170"/>
    </row>
    <row r="38" spans="1:12" x14ac:dyDescent="0.35">
      <c r="A38" s="170" t="s">
        <v>115</v>
      </c>
      <c r="B38" s="171"/>
      <c r="C38" s="170"/>
      <c r="D38" s="170"/>
      <c r="E38" s="170"/>
      <c r="F38" s="170"/>
      <c r="G38" s="170"/>
      <c r="H38" s="170"/>
      <c r="I38" s="170"/>
      <c r="J38" s="170"/>
      <c r="K38" s="170"/>
      <c r="L38" s="170"/>
    </row>
    <row r="39" spans="1:12" x14ac:dyDescent="0.35">
      <c r="A39" s="170"/>
      <c r="B39" s="171"/>
      <c r="C39" s="170"/>
      <c r="D39" s="170"/>
      <c r="E39" s="170"/>
      <c r="F39" s="170"/>
      <c r="G39" s="170"/>
      <c r="H39" s="170"/>
      <c r="I39" s="170"/>
      <c r="J39" s="170"/>
      <c r="K39" s="170"/>
      <c r="L39" s="170"/>
    </row>
    <row r="40" spans="1:12" x14ac:dyDescent="0.35">
      <c r="A40" s="170"/>
      <c r="B40" s="171"/>
      <c r="C40" s="170"/>
      <c r="D40" s="170"/>
      <c r="E40" s="170"/>
      <c r="F40" s="170"/>
      <c r="G40" s="170"/>
      <c r="H40" s="170"/>
      <c r="I40" s="170"/>
      <c r="J40" s="170"/>
      <c r="K40" s="170"/>
      <c r="L40" s="170"/>
    </row>
    <row r="41" spans="1:12" x14ac:dyDescent="0.35">
      <c r="A41" s="170"/>
      <c r="B41" s="171"/>
      <c r="C41" s="170"/>
      <c r="D41" s="170"/>
      <c r="E41" s="170"/>
      <c r="F41" s="170"/>
      <c r="G41" s="170"/>
      <c r="H41" s="170"/>
      <c r="I41" s="170"/>
      <c r="J41" s="170"/>
      <c r="K41" s="170"/>
      <c r="L41" s="170"/>
    </row>
  </sheetData>
  <mergeCells count="4">
    <mergeCell ref="C10:E10"/>
    <mergeCell ref="F10:H10"/>
    <mergeCell ref="B8:C8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9"/>
  <sheetViews>
    <sheetView tabSelected="1" workbookViewId="0">
      <selection activeCell="L38" sqref="L38"/>
    </sheetView>
  </sheetViews>
  <sheetFormatPr defaultColWidth="8.90625" defaultRowHeight="15" x14ac:dyDescent="0.3"/>
  <cols>
    <col min="1" max="1" width="13.90625" style="202" customWidth="1"/>
    <col min="2" max="2" width="9.54296875" style="153" customWidth="1"/>
    <col min="3" max="3" width="10.54296875" style="153" customWidth="1"/>
    <col min="4" max="4" width="9.90625" style="153" customWidth="1"/>
    <col min="5" max="5" width="13.08984375" style="153" customWidth="1"/>
    <col min="6" max="6" width="13.54296875" style="153" customWidth="1"/>
    <col min="7" max="7" width="13.90625" style="153" customWidth="1"/>
    <col min="8" max="8" width="14.453125" style="153" customWidth="1"/>
    <col min="9" max="14" width="13.54296875" style="153" customWidth="1"/>
    <col min="15" max="16384" width="8.90625" style="153"/>
  </cols>
  <sheetData>
    <row r="1" spans="1:14" x14ac:dyDescent="0.3">
      <c r="B1" s="191"/>
      <c r="C1" s="191"/>
      <c r="D1" s="191"/>
      <c r="E1" s="192"/>
      <c r="F1" s="192"/>
      <c r="H1" s="193"/>
      <c r="I1" s="193"/>
      <c r="J1" s="193"/>
      <c r="K1" s="193"/>
      <c r="L1" s="193"/>
    </row>
    <row r="2" spans="1:14" s="194" customFormat="1" x14ac:dyDescent="0.3">
      <c r="A2" s="466" t="s">
        <v>116</v>
      </c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</row>
    <row r="3" spans="1:14" x14ac:dyDescent="0.3">
      <c r="B3" s="191"/>
      <c r="C3" s="191"/>
      <c r="D3" s="191"/>
      <c r="E3" s="192"/>
      <c r="F3" s="192"/>
      <c r="H3" s="193"/>
      <c r="I3" s="193"/>
      <c r="J3" s="193"/>
      <c r="K3" s="193"/>
      <c r="L3" s="193"/>
    </row>
    <row r="4" spans="1:14" s="201" customFormat="1" ht="60" x14ac:dyDescent="0.35">
      <c r="A4" s="200" t="s">
        <v>117</v>
      </c>
      <c r="B4" s="200" t="s">
        <v>118</v>
      </c>
      <c r="C4" s="200" t="s">
        <v>119</v>
      </c>
      <c r="D4" s="200" t="s">
        <v>120</v>
      </c>
      <c r="E4" s="200" t="s">
        <v>121</v>
      </c>
      <c r="F4" s="200" t="s">
        <v>122</v>
      </c>
      <c r="G4" s="200" t="s">
        <v>123</v>
      </c>
      <c r="H4" s="200" t="s">
        <v>124</v>
      </c>
      <c r="I4" s="200" t="s">
        <v>125</v>
      </c>
      <c r="J4" s="200" t="s">
        <v>126</v>
      </c>
      <c r="K4" s="196" t="s">
        <v>127</v>
      </c>
      <c r="L4" s="200" t="s">
        <v>128</v>
      </c>
    </row>
    <row r="5" spans="1:14" x14ac:dyDescent="0.3">
      <c r="A5" s="203">
        <v>9</v>
      </c>
      <c r="B5" s="203" t="s">
        <v>129</v>
      </c>
      <c r="C5" s="203" t="s">
        <v>130</v>
      </c>
      <c r="D5" s="195">
        <v>1</v>
      </c>
      <c r="E5" s="197">
        <v>1650</v>
      </c>
      <c r="F5" s="197">
        <f>D5*E5</f>
        <v>1650</v>
      </c>
      <c r="G5" s="197">
        <f>F5*12</f>
        <v>19800</v>
      </c>
      <c r="H5" s="197">
        <f>ROUNDUP(G5*0.05,0)</f>
        <v>990</v>
      </c>
      <c r="I5" s="197">
        <f>ROUNDUP(G5*0.1,0)</f>
        <v>1980</v>
      </c>
      <c r="J5" s="197">
        <f>ROUNDUP(G5*0.05,0)</f>
        <v>990</v>
      </c>
      <c r="K5" s="197">
        <f>ROUNDUP(((G5+H5+I5+J5)*0.2359),0)</f>
        <v>5605</v>
      </c>
      <c r="L5" s="197">
        <f>G5+H5+I5+J5+K5</f>
        <v>29365</v>
      </c>
    </row>
    <row r="6" spans="1:14" x14ac:dyDescent="0.3">
      <c r="A6" s="203">
        <v>9</v>
      </c>
      <c r="B6" s="203">
        <v>37</v>
      </c>
      <c r="C6" s="203" t="s">
        <v>131</v>
      </c>
      <c r="D6" s="195">
        <v>1</v>
      </c>
      <c r="E6" s="197">
        <v>1738</v>
      </c>
      <c r="F6" s="197">
        <f t="shared" ref="F6:F25" si="0">D6*E6</f>
        <v>1738</v>
      </c>
      <c r="G6" s="197">
        <f t="shared" ref="G6:G25" si="1">F6*12</f>
        <v>20856</v>
      </c>
      <c r="H6" s="197">
        <f t="shared" ref="H6:H25" si="2">ROUNDUP(G6*0.05,0)</f>
        <v>1043</v>
      </c>
      <c r="I6" s="197">
        <f t="shared" ref="I6:I25" si="3">ROUNDUP(G6*0.1,0)</f>
        <v>2086</v>
      </c>
      <c r="J6" s="197">
        <f t="shared" ref="J6:J25" si="4">ROUNDUP(G6*0.05,0)</f>
        <v>1043</v>
      </c>
      <c r="K6" s="197">
        <f t="shared" ref="K6:K25" si="5">ROUNDUP(((G6+H6+I6+J6)*0.2359),0)</f>
        <v>5905</v>
      </c>
      <c r="L6" s="197">
        <f t="shared" ref="L6:L25" si="6">G6+H6+I6+J6+K6</f>
        <v>30933</v>
      </c>
    </row>
    <row r="7" spans="1:14" x14ac:dyDescent="0.3">
      <c r="A7" s="203">
        <v>9</v>
      </c>
      <c r="B7" s="203">
        <v>37</v>
      </c>
      <c r="C7" s="203" t="s">
        <v>131</v>
      </c>
      <c r="D7" s="195">
        <v>1</v>
      </c>
      <c r="E7" s="197">
        <v>1500</v>
      </c>
      <c r="F7" s="197">
        <f t="shared" si="0"/>
        <v>1500</v>
      </c>
      <c r="G7" s="197">
        <f t="shared" si="1"/>
        <v>18000</v>
      </c>
      <c r="H7" s="197">
        <f t="shared" si="2"/>
        <v>900</v>
      </c>
      <c r="I7" s="197">
        <f t="shared" si="3"/>
        <v>1800</v>
      </c>
      <c r="J7" s="197">
        <f t="shared" si="4"/>
        <v>900</v>
      </c>
      <c r="K7" s="197">
        <f t="shared" si="5"/>
        <v>5096</v>
      </c>
      <c r="L7" s="197">
        <f t="shared" si="6"/>
        <v>26696</v>
      </c>
    </row>
    <row r="8" spans="1:14" x14ac:dyDescent="0.3">
      <c r="A8" s="203">
        <v>11</v>
      </c>
      <c r="B8" s="203">
        <v>37</v>
      </c>
      <c r="C8" s="203" t="s">
        <v>132</v>
      </c>
      <c r="D8" s="195">
        <v>2</v>
      </c>
      <c r="E8" s="197">
        <v>2052</v>
      </c>
      <c r="F8" s="197">
        <f t="shared" si="0"/>
        <v>4104</v>
      </c>
      <c r="G8" s="197">
        <f t="shared" si="1"/>
        <v>49248</v>
      </c>
      <c r="H8" s="197">
        <f t="shared" si="2"/>
        <v>2463</v>
      </c>
      <c r="I8" s="197">
        <f t="shared" si="3"/>
        <v>4925</v>
      </c>
      <c r="J8" s="197">
        <f t="shared" si="4"/>
        <v>2463</v>
      </c>
      <c r="K8" s="197">
        <f t="shared" si="5"/>
        <v>13942</v>
      </c>
      <c r="L8" s="197">
        <f t="shared" si="6"/>
        <v>73041</v>
      </c>
    </row>
    <row r="9" spans="1:14" x14ac:dyDescent="0.3">
      <c r="A9" s="203">
        <v>11</v>
      </c>
      <c r="B9" s="203">
        <v>37</v>
      </c>
      <c r="C9" s="203" t="s">
        <v>132</v>
      </c>
      <c r="D9" s="195">
        <v>26</v>
      </c>
      <c r="E9" s="197">
        <v>1851</v>
      </c>
      <c r="F9" s="197">
        <f t="shared" si="0"/>
        <v>48126</v>
      </c>
      <c r="G9" s="197">
        <f t="shared" si="1"/>
        <v>577512</v>
      </c>
      <c r="H9" s="197">
        <f t="shared" si="2"/>
        <v>28876</v>
      </c>
      <c r="I9" s="197">
        <f t="shared" si="3"/>
        <v>57752</v>
      </c>
      <c r="J9" s="197">
        <f t="shared" si="4"/>
        <v>28876</v>
      </c>
      <c r="K9" s="197">
        <f t="shared" si="5"/>
        <v>163483</v>
      </c>
      <c r="L9" s="197">
        <f t="shared" si="6"/>
        <v>856499</v>
      </c>
    </row>
    <row r="10" spans="1:14" x14ac:dyDescent="0.3">
      <c r="A10" s="203">
        <v>11</v>
      </c>
      <c r="B10" s="203">
        <v>37</v>
      </c>
      <c r="C10" s="203" t="s">
        <v>132</v>
      </c>
      <c r="D10" s="195">
        <v>1</v>
      </c>
      <c r="E10" s="197">
        <v>1932</v>
      </c>
      <c r="F10" s="197">
        <f t="shared" si="0"/>
        <v>1932</v>
      </c>
      <c r="G10" s="197">
        <f t="shared" si="1"/>
        <v>23184</v>
      </c>
      <c r="H10" s="197">
        <f t="shared" si="2"/>
        <v>1160</v>
      </c>
      <c r="I10" s="197">
        <f t="shared" si="3"/>
        <v>2319</v>
      </c>
      <c r="J10" s="197">
        <f t="shared" si="4"/>
        <v>1160</v>
      </c>
      <c r="K10" s="197">
        <f t="shared" si="5"/>
        <v>6564</v>
      </c>
      <c r="L10" s="197">
        <f t="shared" si="6"/>
        <v>34387</v>
      </c>
    </row>
    <row r="11" spans="1:14" x14ac:dyDescent="0.3">
      <c r="A11" s="203">
        <v>11</v>
      </c>
      <c r="B11" s="203">
        <v>37</v>
      </c>
      <c r="C11" s="203" t="s">
        <v>132</v>
      </c>
      <c r="D11" s="195">
        <v>1</v>
      </c>
      <c r="E11" s="197">
        <v>2188</v>
      </c>
      <c r="F11" s="197">
        <f t="shared" si="0"/>
        <v>2188</v>
      </c>
      <c r="G11" s="197">
        <f t="shared" si="1"/>
        <v>26256</v>
      </c>
      <c r="H11" s="197">
        <f t="shared" si="2"/>
        <v>1313</v>
      </c>
      <c r="I11" s="197">
        <f t="shared" si="3"/>
        <v>2626</v>
      </c>
      <c r="J11" s="197">
        <f t="shared" si="4"/>
        <v>1313</v>
      </c>
      <c r="K11" s="197">
        <f t="shared" si="5"/>
        <v>7433</v>
      </c>
      <c r="L11" s="197">
        <f t="shared" si="6"/>
        <v>38941</v>
      </c>
    </row>
    <row r="12" spans="1:14" x14ac:dyDescent="0.3">
      <c r="A12" s="203">
        <v>11</v>
      </c>
      <c r="B12" s="203">
        <v>37</v>
      </c>
      <c r="C12" s="203" t="s">
        <v>132</v>
      </c>
      <c r="D12" s="195">
        <v>3</v>
      </c>
      <c r="E12" s="197">
        <v>2200</v>
      </c>
      <c r="F12" s="197">
        <f t="shared" si="0"/>
        <v>6600</v>
      </c>
      <c r="G12" s="197">
        <f t="shared" si="1"/>
        <v>79200</v>
      </c>
      <c r="H12" s="197">
        <f t="shared" si="2"/>
        <v>3960</v>
      </c>
      <c r="I12" s="197">
        <f t="shared" si="3"/>
        <v>7920</v>
      </c>
      <c r="J12" s="197">
        <f t="shared" si="4"/>
        <v>3960</v>
      </c>
      <c r="K12" s="197">
        <f t="shared" si="5"/>
        <v>22420</v>
      </c>
      <c r="L12" s="197">
        <f t="shared" si="6"/>
        <v>117460</v>
      </c>
    </row>
    <row r="13" spans="1:14" x14ac:dyDescent="0.3">
      <c r="A13" s="203">
        <v>11</v>
      </c>
      <c r="B13" s="203">
        <v>37</v>
      </c>
      <c r="C13" s="203" t="s">
        <v>132</v>
      </c>
      <c r="D13" s="195">
        <v>1</v>
      </c>
      <c r="E13" s="197">
        <v>2400</v>
      </c>
      <c r="F13" s="197">
        <f t="shared" si="0"/>
        <v>2400</v>
      </c>
      <c r="G13" s="197">
        <f t="shared" si="1"/>
        <v>28800</v>
      </c>
      <c r="H13" s="197">
        <f t="shared" si="2"/>
        <v>1440</v>
      </c>
      <c r="I13" s="197">
        <f t="shared" si="3"/>
        <v>2880</v>
      </c>
      <c r="J13" s="197">
        <f t="shared" si="4"/>
        <v>1440</v>
      </c>
      <c r="K13" s="197">
        <f t="shared" si="5"/>
        <v>8153</v>
      </c>
      <c r="L13" s="197">
        <f t="shared" si="6"/>
        <v>42713</v>
      </c>
    </row>
    <row r="14" spans="1:14" x14ac:dyDescent="0.3">
      <c r="A14" s="203">
        <v>11</v>
      </c>
      <c r="B14" s="203" t="s">
        <v>133</v>
      </c>
      <c r="C14" s="203" t="s">
        <v>134</v>
      </c>
      <c r="D14" s="195">
        <v>1</v>
      </c>
      <c r="E14" s="197">
        <v>2245</v>
      </c>
      <c r="F14" s="197">
        <f t="shared" si="0"/>
        <v>2245</v>
      </c>
      <c r="G14" s="197">
        <f t="shared" si="1"/>
        <v>26940</v>
      </c>
      <c r="H14" s="197">
        <f t="shared" si="2"/>
        <v>1347</v>
      </c>
      <c r="I14" s="197">
        <f t="shared" si="3"/>
        <v>2694</v>
      </c>
      <c r="J14" s="197">
        <f t="shared" si="4"/>
        <v>1347</v>
      </c>
      <c r="K14" s="197">
        <f t="shared" si="5"/>
        <v>7627</v>
      </c>
      <c r="L14" s="197">
        <f t="shared" si="6"/>
        <v>39955</v>
      </c>
    </row>
    <row r="15" spans="1:14" x14ac:dyDescent="0.3">
      <c r="A15" s="203">
        <v>11</v>
      </c>
      <c r="B15" s="203" t="s">
        <v>135</v>
      </c>
      <c r="C15" s="203" t="s">
        <v>136</v>
      </c>
      <c r="D15" s="195">
        <v>3</v>
      </c>
      <c r="E15" s="197">
        <v>1989</v>
      </c>
      <c r="F15" s="197">
        <f t="shared" si="0"/>
        <v>5967</v>
      </c>
      <c r="G15" s="197">
        <f t="shared" si="1"/>
        <v>71604</v>
      </c>
      <c r="H15" s="197">
        <f t="shared" si="2"/>
        <v>3581</v>
      </c>
      <c r="I15" s="197">
        <f t="shared" si="3"/>
        <v>7161</v>
      </c>
      <c r="J15" s="197">
        <f t="shared" si="4"/>
        <v>3581</v>
      </c>
      <c r="K15" s="197">
        <f t="shared" si="5"/>
        <v>20271</v>
      </c>
      <c r="L15" s="197">
        <f t="shared" si="6"/>
        <v>106198</v>
      </c>
    </row>
    <row r="16" spans="1:14" x14ac:dyDescent="0.3">
      <c r="A16" s="203">
        <v>12</v>
      </c>
      <c r="B16" s="203" t="s">
        <v>137</v>
      </c>
      <c r="C16" s="203" t="s">
        <v>138</v>
      </c>
      <c r="D16" s="195">
        <v>1</v>
      </c>
      <c r="E16" s="197">
        <v>2800</v>
      </c>
      <c r="F16" s="197">
        <f t="shared" si="0"/>
        <v>2800</v>
      </c>
      <c r="G16" s="197">
        <f t="shared" si="1"/>
        <v>33600</v>
      </c>
      <c r="H16" s="197">
        <f t="shared" si="2"/>
        <v>1680</v>
      </c>
      <c r="I16" s="197">
        <f t="shared" si="3"/>
        <v>3360</v>
      </c>
      <c r="J16" s="197">
        <f t="shared" si="4"/>
        <v>1680</v>
      </c>
      <c r="K16" s="197">
        <f t="shared" si="5"/>
        <v>9512</v>
      </c>
      <c r="L16" s="197">
        <f t="shared" si="6"/>
        <v>49832</v>
      </c>
    </row>
    <row r="17" spans="1:12" x14ac:dyDescent="0.3">
      <c r="A17" s="203">
        <v>12</v>
      </c>
      <c r="B17" s="203" t="s">
        <v>139</v>
      </c>
      <c r="C17" s="203" t="s">
        <v>136</v>
      </c>
      <c r="D17" s="195">
        <v>1</v>
      </c>
      <c r="E17" s="197">
        <v>2304</v>
      </c>
      <c r="F17" s="197">
        <f t="shared" si="0"/>
        <v>2304</v>
      </c>
      <c r="G17" s="197">
        <f t="shared" si="1"/>
        <v>27648</v>
      </c>
      <c r="H17" s="197">
        <f t="shared" si="2"/>
        <v>1383</v>
      </c>
      <c r="I17" s="197">
        <f t="shared" si="3"/>
        <v>2765</v>
      </c>
      <c r="J17" s="197">
        <f t="shared" si="4"/>
        <v>1383</v>
      </c>
      <c r="K17" s="197">
        <f t="shared" si="5"/>
        <v>7827</v>
      </c>
      <c r="L17" s="197">
        <f t="shared" si="6"/>
        <v>41006</v>
      </c>
    </row>
    <row r="18" spans="1:12" x14ac:dyDescent="0.3">
      <c r="A18" s="203">
        <v>12</v>
      </c>
      <c r="B18" s="203" t="s">
        <v>139</v>
      </c>
      <c r="C18" s="203" t="s">
        <v>136</v>
      </c>
      <c r="D18" s="195">
        <v>3</v>
      </c>
      <c r="E18" s="197">
        <v>2600</v>
      </c>
      <c r="F18" s="197">
        <f t="shared" si="0"/>
        <v>7800</v>
      </c>
      <c r="G18" s="197">
        <f t="shared" si="1"/>
        <v>93600</v>
      </c>
      <c r="H18" s="197">
        <f t="shared" si="2"/>
        <v>4680</v>
      </c>
      <c r="I18" s="197">
        <f t="shared" si="3"/>
        <v>9360</v>
      </c>
      <c r="J18" s="197">
        <f t="shared" si="4"/>
        <v>4680</v>
      </c>
      <c r="K18" s="197">
        <f t="shared" si="5"/>
        <v>26497</v>
      </c>
      <c r="L18" s="197">
        <f t="shared" si="6"/>
        <v>138817</v>
      </c>
    </row>
    <row r="19" spans="1:12" x14ac:dyDescent="0.3">
      <c r="A19" s="203">
        <v>12</v>
      </c>
      <c r="B19" s="203" t="s">
        <v>139</v>
      </c>
      <c r="C19" s="203" t="s">
        <v>136</v>
      </c>
      <c r="D19" s="195">
        <v>2</v>
      </c>
      <c r="E19" s="197">
        <v>2800</v>
      </c>
      <c r="F19" s="197">
        <f t="shared" si="0"/>
        <v>5600</v>
      </c>
      <c r="G19" s="197">
        <f t="shared" si="1"/>
        <v>67200</v>
      </c>
      <c r="H19" s="197">
        <f t="shared" si="2"/>
        <v>3360</v>
      </c>
      <c r="I19" s="197">
        <f t="shared" si="3"/>
        <v>6720</v>
      </c>
      <c r="J19" s="197">
        <f t="shared" si="4"/>
        <v>3360</v>
      </c>
      <c r="K19" s="197">
        <f t="shared" si="5"/>
        <v>19023</v>
      </c>
      <c r="L19" s="197">
        <f t="shared" si="6"/>
        <v>99663</v>
      </c>
    </row>
    <row r="20" spans="1:12" x14ac:dyDescent="0.3">
      <c r="A20" s="203">
        <v>12</v>
      </c>
      <c r="B20" s="204" t="s">
        <v>140</v>
      </c>
      <c r="C20" s="204" t="s">
        <v>141</v>
      </c>
      <c r="D20" s="195">
        <v>2</v>
      </c>
      <c r="E20" s="197">
        <v>2304</v>
      </c>
      <c r="F20" s="197">
        <f t="shared" si="0"/>
        <v>4608</v>
      </c>
      <c r="G20" s="197">
        <f t="shared" si="1"/>
        <v>55296</v>
      </c>
      <c r="H20" s="197">
        <f t="shared" si="2"/>
        <v>2765</v>
      </c>
      <c r="I20" s="197">
        <f t="shared" si="3"/>
        <v>5530</v>
      </c>
      <c r="J20" s="197">
        <f t="shared" si="4"/>
        <v>2765</v>
      </c>
      <c r="K20" s="197">
        <f t="shared" si="5"/>
        <v>15654</v>
      </c>
      <c r="L20" s="197">
        <f t="shared" si="6"/>
        <v>82010</v>
      </c>
    </row>
    <row r="21" spans="1:12" x14ac:dyDescent="0.3">
      <c r="A21" s="203">
        <v>13</v>
      </c>
      <c r="B21" s="203">
        <v>22</v>
      </c>
      <c r="C21" s="204" t="s">
        <v>136</v>
      </c>
      <c r="D21" s="195">
        <v>1</v>
      </c>
      <c r="E21" s="197">
        <v>3500</v>
      </c>
      <c r="F21" s="197">
        <f t="shared" si="0"/>
        <v>3500</v>
      </c>
      <c r="G21" s="197">
        <f t="shared" si="1"/>
        <v>42000</v>
      </c>
      <c r="H21" s="197">
        <f t="shared" si="2"/>
        <v>2100</v>
      </c>
      <c r="I21" s="197">
        <f t="shared" si="3"/>
        <v>4200</v>
      </c>
      <c r="J21" s="197">
        <f t="shared" si="4"/>
        <v>2100</v>
      </c>
      <c r="K21" s="197">
        <f t="shared" si="5"/>
        <v>11890</v>
      </c>
      <c r="L21" s="197">
        <f t="shared" si="6"/>
        <v>62290</v>
      </c>
    </row>
    <row r="22" spans="1:12" x14ac:dyDescent="0.3">
      <c r="A22" s="203">
        <v>13</v>
      </c>
      <c r="B22" s="204" t="s">
        <v>142</v>
      </c>
      <c r="C22" s="204" t="s">
        <v>143</v>
      </c>
      <c r="D22" s="195">
        <v>1</v>
      </c>
      <c r="E22" s="197">
        <v>3500</v>
      </c>
      <c r="F22" s="197">
        <f t="shared" si="0"/>
        <v>3500</v>
      </c>
      <c r="G22" s="197">
        <f t="shared" si="1"/>
        <v>42000</v>
      </c>
      <c r="H22" s="197">
        <f t="shared" si="2"/>
        <v>2100</v>
      </c>
      <c r="I22" s="197">
        <f t="shared" si="3"/>
        <v>4200</v>
      </c>
      <c r="J22" s="197">
        <f t="shared" si="4"/>
        <v>2100</v>
      </c>
      <c r="K22" s="197">
        <f t="shared" si="5"/>
        <v>11890</v>
      </c>
      <c r="L22" s="197">
        <f t="shared" si="6"/>
        <v>62290</v>
      </c>
    </row>
    <row r="23" spans="1:12" x14ac:dyDescent="0.3">
      <c r="A23" s="203">
        <v>13</v>
      </c>
      <c r="B23" s="203" t="s">
        <v>142</v>
      </c>
      <c r="C23" s="203" t="s">
        <v>143</v>
      </c>
      <c r="D23" s="195">
        <v>1</v>
      </c>
      <c r="E23" s="197">
        <v>4350</v>
      </c>
      <c r="F23" s="197">
        <f t="shared" si="0"/>
        <v>4350</v>
      </c>
      <c r="G23" s="197">
        <f t="shared" si="1"/>
        <v>52200</v>
      </c>
      <c r="H23" s="197">
        <f t="shared" si="2"/>
        <v>2610</v>
      </c>
      <c r="I23" s="197">
        <f t="shared" si="3"/>
        <v>5220</v>
      </c>
      <c r="J23" s="197">
        <f t="shared" si="4"/>
        <v>2610</v>
      </c>
      <c r="K23" s="197">
        <f t="shared" si="5"/>
        <v>14777</v>
      </c>
      <c r="L23" s="197">
        <f t="shared" si="6"/>
        <v>77417</v>
      </c>
    </row>
    <row r="24" spans="1:12" x14ac:dyDescent="0.3">
      <c r="A24" s="203">
        <v>13</v>
      </c>
      <c r="B24" s="203" t="s">
        <v>139</v>
      </c>
      <c r="C24" s="203" t="s">
        <v>134</v>
      </c>
      <c r="D24" s="195">
        <v>6</v>
      </c>
      <c r="E24" s="197">
        <v>3500</v>
      </c>
      <c r="F24" s="197">
        <f t="shared" si="0"/>
        <v>21000</v>
      </c>
      <c r="G24" s="197">
        <f t="shared" si="1"/>
        <v>252000</v>
      </c>
      <c r="H24" s="197">
        <f t="shared" si="2"/>
        <v>12600</v>
      </c>
      <c r="I24" s="197">
        <f t="shared" si="3"/>
        <v>25200</v>
      </c>
      <c r="J24" s="197">
        <f t="shared" si="4"/>
        <v>12600</v>
      </c>
      <c r="K24" s="197">
        <f t="shared" si="5"/>
        <v>71337</v>
      </c>
      <c r="L24" s="197">
        <f t="shared" si="6"/>
        <v>373737</v>
      </c>
    </row>
    <row r="25" spans="1:12" x14ac:dyDescent="0.3">
      <c r="A25" s="203">
        <v>16</v>
      </c>
      <c r="B25" s="203" t="s">
        <v>144</v>
      </c>
      <c r="C25" s="203" t="s">
        <v>145</v>
      </c>
      <c r="D25" s="195">
        <v>3</v>
      </c>
      <c r="E25" s="197">
        <v>5452</v>
      </c>
      <c r="F25" s="197">
        <f t="shared" si="0"/>
        <v>16356</v>
      </c>
      <c r="G25" s="197">
        <f t="shared" si="1"/>
        <v>196272</v>
      </c>
      <c r="H25" s="197">
        <f t="shared" si="2"/>
        <v>9814</v>
      </c>
      <c r="I25" s="197">
        <f t="shared" si="3"/>
        <v>19628</v>
      </c>
      <c r="J25" s="197">
        <f t="shared" si="4"/>
        <v>9814</v>
      </c>
      <c r="K25" s="197">
        <f t="shared" si="5"/>
        <v>55562</v>
      </c>
      <c r="L25" s="197">
        <f t="shared" si="6"/>
        <v>291090</v>
      </c>
    </row>
    <row r="26" spans="1:12" x14ac:dyDescent="0.3">
      <c r="F26" s="205">
        <f t="shared" ref="F26:L26" si="7">SUM(F5:F25)</f>
        <v>150268</v>
      </c>
      <c r="G26" s="197">
        <f t="shared" si="7"/>
        <v>1803216</v>
      </c>
      <c r="H26" s="197">
        <f t="shared" si="7"/>
        <v>90165</v>
      </c>
      <c r="I26" s="197">
        <f t="shared" si="7"/>
        <v>180326</v>
      </c>
      <c r="J26" s="197">
        <f t="shared" si="7"/>
        <v>90165</v>
      </c>
      <c r="K26" s="197">
        <f t="shared" si="7"/>
        <v>510468</v>
      </c>
      <c r="L26" s="198">
        <f t="shared" si="7"/>
        <v>2674340</v>
      </c>
    </row>
    <row r="29" spans="1:12" ht="49.5" customHeight="1" x14ac:dyDescent="0.3">
      <c r="A29" s="467" t="s">
        <v>146</v>
      </c>
      <c r="B29" s="467"/>
      <c r="C29" s="467"/>
      <c r="D29" s="467"/>
      <c r="E29" s="467"/>
      <c r="F29" s="193">
        <v>1267874</v>
      </c>
      <c r="I29" s="193"/>
    </row>
    <row r="30" spans="1:12" ht="46.5" customHeight="1" x14ac:dyDescent="0.3">
      <c r="A30" s="467" t="s">
        <v>147</v>
      </c>
      <c r="B30" s="467"/>
      <c r="C30" s="467"/>
      <c r="D30" s="467"/>
      <c r="E30" s="467"/>
      <c r="F30" s="206">
        <v>985706</v>
      </c>
    </row>
    <row r="31" spans="1:12" x14ac:dyDescent="0.3">
      <c r="A31" s="468" t="s">
        <v>148</v>
      </c>
      <c r="B31" s="468"/>
      <c r="C31" s="468"/>
      <c r="D31" s="468"/>
      <c r="E31" s="468"/>
      <c r="F31" s="193">
        <f>L26</f>
        <v>2674340</v>
      </c>
    </row>
    <row r="32" spans="1:12" x14ac:dyDescent="0.3">
      <c r="A32" s="468" t="s">
        <v>149</v>
      </c>
      <c r="B32" s="468"/>
      <c r="C32" s="468"/>
      <c r="D32" s="468"/>
      <c r="E32" s="468"/>
      <c r="F32" s="206">
        <f>F31- (F29+F30)</f>
        <v>420760</v>
      </c>
    </row>
    <row r="34" spans="1:13" ht="32.4" customHeight="1" x14ac:dyDescent="0.3">
      <c r="A34" s="471" t="s">
        <v>150</v>
      </c>
      <c r="B34" s="471"/>
      <c r="C34" s="471"/>
      <c r="D34" s="471"/>
      <c r="E34" s="471"/>
      <c r="F34" s="193">
        <v>380000</v>
      </c>
    </row>
    <row r="35" spans="1:13" x14ac:dyDescent="0.3">
      <c r="A35" s="471" t="s">
        <v>151</v>
      </c>
      <c r="B35" s="471"/>
      <c r="C35" s="471"/>
      <c r="D35" s="471"/>
      <c r="E35" s="471"/>
      <c r="F35" s="193">
        <v>385000</v>
      </c>
    </row>
    <row r="36" spans="1:13" ht="36.65" customHeight="1" x14ac:dyDescent="0.3">
      <c r="M36" s="199"/>
    </row>
    <row r="37" spans="1:13" ht="31.5" customHeight="1" x14ac:dyDescent="0.3">
      <c r="A37" s="469" t="s">
        <v>152</v>
      </c>
      <c r="B37" s="469"/>
      <c r="C37" s="469"/>
      <c r="D37" s="469"/>
      <c r="E37" s="469"/>
      <c r="F37" s="194"/>
      <c r="G37" s="207">
        <f>F32+F34</f>
        <v>800760</v>
      </c>
      <c r="H37" s="193"/>
      <c r="I37" s="193"/>
      <c r="J37" s="193"/>
    </row>
    <row r="38" spans="1:13" ht="28.5" customHeight="1" x14ac:dyDescent="0.3">
      <c r="A38" s="469" t="s">
        <v>153</v>
      </c>
      <c r="B38" s="469"/>
      <c r="C38" s="469"/>
      <c r="D38" s="469"/>
      <c r="E38" s="469"/>
      <c r="F38" s="194"/>
      <c r="G38" s="470">
        <v>805760</v>
      </c>
      <c r="H38" s="193"/>
      <c r="I38" s="193"/>
      <c r="J38" s="193"/>
    </row>
    <row r="39" spans="1:13" x14ac:dyDescent="0.3">
      <c r="A39" s="468" t="s">
        <v>154</v>
      </c>
      <c r="B39" s="468"/>
      <c r="C39" s="468"/>
      <c r="D39" s="468"/>
      <c r="E39" s="468"/>
      <c r="G39" s="470"/>
    </row>
  </sheetData>
  <mergeCells count="11">
    <mergeCell ref="A37:E37"/>
    <mergeCell ref="A38:E38"/>
    <mergeCell ref="A39:E39"/>
    <mergeCell ref="G38:G39"/>
    <mergeCell ref="A34:E34"/>
    <mergeCell ref="A35:E35"/>
    <mergeCell ref="A2:N2"/>
    <mergeCell ref="A29:E29"/>
    <mergeCell ref="A30:E30"/>
    <mergeCell ref="A31:E31"/>
    <mergeCell ref="A32:E32"/>
  </mergeCells>
  <pageMargins left="0.7" right="0.7" top="0.75" bottom="0.75" header="0.3" footer="0.3"/>
  <pageSetup paperSize="9" orientation="landscape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1.pielikums_aprēķins</vt:lpstr>
      <vt:lpstr>2. pielikums_AST aprēķini</vt:lpstr>
      <vt:lpstr>3. pielikums_štata vietas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Edgars Vītols</dc:creator>
  <cp:keywords/>
  <dc:description/>
  <cp:lastModifiedBy>Aija Timofejeva</cp:lastModifiedBy>
  <cp:revision/>
  <dcterms:created xsi:type="dcterms:W3CDTF">2021-11-11T12:04:08Z</dcterms:created>
  <dcterms:modified xsi:type="dcterms:W3CDTF">2024-10-04T12:14:07Z</dcterms:modified>
  <cp:category/>
  <cp:contentStatus/>
</cp:coreProperties>
</file>