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Sanda.Lejniece\My Documents\Sandas dokumenti\Reformu  plāns\Slimnīcu līmeņi_2023_II\Ziņojums un izmantotie dokumenti\Info_zin_240723\Iesniegts TAP\09.08.2023\"/>
    </mc:Choice>
  </mc:AlternateContent>
  <xr:revisionPtr revIDLastSave="0" documentId="13_ncr:1_{EE142D24-5531-4F96-9CE8-8EB2F031701D}" xr6:coauthVersionLast="47" xr6:coauthVersionMax="47" xr10:uidLastSave="{00000000-0000-0000-0000-000000000000}"/>
  <bookViews>
    <workbookView xWindow="-110" yWindow="-110" windowWidth="19420" windowHeight="10420" tabRatio="932" xr2:uid="{0125D610-F19A-44AC-B605-F2999A672A55}"/>
  </bookViews>
  <sheets>
    <sheet name="Kopā" sheetId="21" r:id="rId1"/>
    <sheet name="ĶIRURĢIJA" sheetId="3" r:id="rId2"/>
    <sheet name="GINEKOLOĢIJA" sheetId="20" r:id="rId3"/>
    <sheet name="GRŪTNIEČU PAT" sheetId="22" r:id="rId4"/>
    <sheet name="DZEMDĪBU PALĪDZĪBA" sheetId="23" r:id="rId5"/>
    <sheet name="Pediatrija_specializēta" sheetId="32" r:id="rId6"/>
    <sheet name="PEDIATRIJA " sheetId="24" r:id="rId7"/>
    <sheet name="TERAPIJA" sheetId="25" r:id="rId8"/>
    <sheet name="TRAUMATOLOĢIJA" sheetId="26" r:id="rId9"/>
    <sheet name="Darba algas" sheetId="19" r:id="rId10"/>
  </sheets>
  <externalReferences>
    <externalReference r:id="rId11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0" i="21" l="1"/>
  <c r="G10" i="21"/>
  <c r="B10" i="21"/>
  <c r="E24" i="32"/>
  <c r="M20" i="32"/>
  <c r="I20" i="32"/>
  <c r="H20" i="32"/>
  <c r="F10" i="21" s="1"/>
  <c r="E17" i="32"/>
  <c r="D17" i="32"/>
  <c r="C17" i="32"/>
  <c r="E16" i="32"/>
  <c r="D16" i="32"/>
  <c r="E15" i="32"/>
  <c r="D15" i="32"/>
  <c r="C15" i="32"/>
  <c r="F24" i="32" s="1"/>
  <c r="F12" i="32"/>
  <c r="E12" i="32"/>
  <c r="G12" i="32" s="1"/>
  <c r="E23" i="32" s="1"/>
  <c r="F11" i="32"/>
  <c r="E11" i="32"/>
  <c r="G11" i="32" s="1"/>
  <c r="D23" i="32" s="1"/>
  <c r="F10" i="32"/>
  <c r="E10" i="32"/>
  <c r="F9" i="32"/>
  <c r="E9" i="32"/>
  <c r="G9" i="32" s="1"/>
  <c r="D21" i="32" s="1"/>
  <c r="F8" i="32"/>
  <c r="E8" i="32"/>
  <c r="G8" i="32" s="1"/>
  <c r="C21" i="32" s="1"/>
  <c r="G10" i="32" l="1"/>
  <c r="E21" i="32" s="1"/>
  <c r="F23" i="32"/>
  <c r="J23" i="32" s="1"/>
  <c r="K23" i="32"/>
  <c r="G23" i="32"/>
  <c r="C22" i="32"/>
  <c r="F22" i="32" s="1"/>
  <c r="F21" i="32"/>
  <c r="L24" i="32"/>
  <c r="K24" i="32"/>
  <c r="J24" i="32"/>
  <c r="G24" i="32"/>
  <c r="N24" i="32" s="1"/>
  <c r="L23" i="32" l="1"/>
  <c r="N23" i="32" s="1"/>
  <c r="L22" i="32"/>
  <c r="K22" i="32"/>
  <c r="J22" i="32"/>
  <c r="G22" i="32"/>
  <c r="L21" i="32"/>
  <c r="K21" i="32"/>
  <c r="J21" i="32"/>
  <c r="G21" i="32"/>
  <c r="G20" i="32" s="1"/>
  <c r="E10" i="21" s="1"/>
  <c r="F20" i="32"/>
  <c r="D10" i="21" s="1"/>
  <c r="J20" i="32" l="1"/>
  <c r="H10" i="21" s="1"/>
  <c r="K20" i="32"/>
  <c r="I10" i="21" s="1"/>
  <c r="L20" i="32"/>
  <c r="J10" i="21" s="1"/>
  <c r="N22" i="32"/>
  <c r="N21" i="32"/>
  <c r="N26" i="32" s="1"/>
  <c r="C10" i="21" s="1"/>
  <c r="K13" i="21" l="1"/>
  <c r="K12" i="21"/>
  <c r="K11" i="21"/>
  <c r="K9" i="21"/>
  <c r="K8" i="21"/>
  <c r="K7" i="21"/>
  <c r="K6" i="21"/>
  <c r="H20" i="26"/>
  <c r="F13" i="21" s="1"/>
  <c r="I20" i="26"/>
  <c r="G13" i="21" s="1"/>
  <c r="M20" i="26"/>
  <c r="H20" i="25"/>
  <c r="F12" i="21" s="1"/>
  <c r="I20" i="25"/>
  <c r="G12" i="21" s="1"/>
  <c r="M20" i="25"/>
  <c r="H20" i="24"/>
  <c r="F11" i="21" s="1"/>
  <c r="I20" i="24"/>
  <c r="G11" i="21" s="1"/>
  <c r="M20" i="24"/>
  <c r="H20" i="23"/>
  <c r="F9" i="21" s="1"/>
  <c r="I20" i="23"/>
  <c r="G9" i="21" s="1"/>
  <c r="M20" i="23"/>
  <c r="H20" i="22"/>
  <c r="F8" i="21" s="1"/>
  <c r="I20" i="22"/>
  <c r="G8" i="21" s="1"/>
  <c r="M20" i="22"/>
  <c r="H20" i="20"/>
  <c r="F7" i="21" s="1"/>
  <c r="I20" i="20"/>
  <c r="G7" i="21" s="1"/>
  <c r="H20" i="3"/>
  <c r="F6" i="21" s="1"/>
  <c r="I20" i="3"/>
  <c r="G6" i="21" s="1"/>
  <c r="J4" i="20"/>
  <c r="F12" i="20" s="1"/>
  <c r="I3" i="22"/>
  <c r="F9" i="22" s="1"/>
  <c r="I3" i="3"/>
  <c r="F9" i="3" s="1"/>
  <c r="G9" i="3" s="1"/>
  <c r="D21" i="3" s="1"/>
  <c r="I3" i="20"/>
  <c r="I4" i="20" s="1"/>
  <c r="F11" i="20" s="1"/>
  <c r="F8" i="20"/>
  <c r="B13" i="21"/>
  <c r="B12" i="21"/>
  <c r="B11" i="21"/>
  <c r="B9" i="21"/>
  <c r="E24" i="26"/>
  <c r="E15" i="26"/>
  <c r="D15" i="26"/>
  <c r="C15" i="26"/>
  <c r="E12" i="26"/>
  <c r="E11" i="26"/>
  <c r="F10" i="26"/>
  <c r="E10" i="26"/>
  <c r="F9" i="26"/>
  <c r="E9" i="26"/>
  <c r="F8" i="26"/>
  <c r="E8" i="26"/>
  <c r="F12" i="26"/>
  <c r="F11" i="26"/>
  <c r="E24" i="25"/>
  <c r="E15" i="25"/>
  <c r="D15" i="25"/>
  <c r="C15" i="25"/>
  <c r="E12" i="25"/>
  <c r="E11" i="25"/>
  <c r="F10" i="25"/>
  <c r="E10" i="25"/>
  <c r="G10" i="25" s="1"/>
  <c r="E21" i="25" s="1"/>
  <c r="F9" i="25"/>
  <c r="E9" i="25"/>
  <c r="F8" i="25"/>
  <c r="E8" i="25"/>
  <c r="G8" i="25" s="1"/>
  <c r="C21" i="25" s="1"/>
  <c r="F12" i="25"/>
  <c r="F11" i="25"/>
  <c r="E24" i="24"/>
  <c r="E15" i="24"/>
  <c r="D15" i="24"/>
  <c r="C15" i="24"/>
  <c r="E12" i="24"/>
  <c r="E11" i="24"/>
  <c r="F10" i="24"/>
  <c r="E10" i="24"/>
  <c r="F9" i="24"/>
  <c r="E9" i="24"/>
  <c r="F8" i="24"/>
  <c r="E8" i="24"/>
  <c r="F12" i="24"/>
  <c r="F11" i="24"/>
  <c r="E24" i="23"/>
  <c r="E15" i="23"/>
  <c r="D15" i="23"/>
  <c r="C15" i="23"/>
  <c r="E12" i="23"/>
  <c r="E11" i="23"/>
  <c r="F10" i="23"/>
  <c r="E10" i="23"/>
  <c r="G10" i="23" s="1"/>
  <c r="E21" i="23" s="1"/>
  <c r="F9" i="23"/>
  <c r="E9" i="23"/>
  <c r="F8" i="23"/>
  <c r="E8" i="23"/>
  <c r="F12" i="23"/>
  <c r="F11" i="23"/>
  <c r="F8" i="3"/>
  <c r="B8" i="21"/>
  <c r="E24" i="22"/>
  <c r="E15" i="22"/>
  <c r="D15" i="22"/>
  <c r="C15" i="22"/>
  <c r="F24" i="22" s="1"/>
  <c r="E12" i="22"/>
  <c r="E11" i="22"/>
  <c r="F10" i="22"/>
  <c r="E10" i="22"/>
  <c r="E9" i="22"/>
  <c r="F8" i="22"/>
  <c r="E8" i="22"/>
  <c r="G8" i="22" s="1"/>
  <c r="C21" i="22" s="1"/>
  <c r="F12" i="22"/>
  <c r="F11" i="22"/>
  <c r="B7" i="21"/>
  <c r="B6" i="21"/>
  <c r="E24" i="20"/>
  <c r="E15" i="20"/>
  <c r="D15" i="20"/>
  <c r="C15" i="20"/>
  <c r="E12" i="20"/>
  <c r="E11" i="20"/>
  <c r="F10" i="20"/>
  <c r="E10" i="20"/>
  <c r="G10" i="20" s="1"/>
  <c r="E21" i="20" s="1"/>
  <c r="F9" i="20"/>
  <c r="E9" i="20"/>
  <c r="G9" i="20" s="1"/>
  <c r="D21" i="20" s="1"/>
  <c r="E8" i="20"/>
  <c r="F11" i="3"/>
  <c r="F12" i="3"/>
  <c r="E11" i="3"/>
  <c r="G11" i="3" s="1"/>
  <c r="D23" i="3" s="1"/>
  <c r="E12" i="3"/>
  <c r="G12" i="3" s="1"/>
  <c r="E23" i="3" s="1"/>
  <c r="E8" i="3"/>
  <c r="G8" i="3" s="1"/>
  <c r="C21" i="3" s="1"/>
  <c r="E9" i="3"/>
  <c r="E10" i="3"/>
  <c r="F10" i="3"/>
  <c r="G10" i="3"/>
  <c r="E21" i="3" s="1"/>
  <c r="AX15" i="19"/>
  <c r="AY15" i="19" s="1"/>
  <c r="AX14" i="19"/>
  <c r="AX13" i="19"/>
  <c r="AL15" i="19"/>
  <c r="AH15" i="19"/>
  <c r="AD15" i="19"/>
  <c r="Z15" i="19"/>
  <c r="V15" i="19"/>
  <c r="R15" i="19"/>
  <c r="N15" i="19"/>
  <c r="J15" i="19"/>
  <c r="AY14" i="19"/>
  <c r="AL14" i="19"/>
  <c r="AH14" i="19"/>
  <c r="AD14" i="19"/>
  <c r="Z14" i="19"/>
  <c r="V14" i="19"/>
  <c r="R14" i="19"/>
  <c r="N14" i="19"/>
  <c r="J14" i="19"/>
  <c r="AY13" i="19"/>
  <c r="AL13" i="19"/>
  <c r="AH13" i="19"/>
  <c r="AD13" i="19"/>
  <c r="Z13" i="19"/>
  <c r="V13" i="19"/>
  <c r="R13" i="19"/>
  <c r="N13" i="19"/>
  <c r="J13" i="19"/>
  <c r="AX12" i="19"/>
  <c r="AY12" i="19" s="1"/>
  <c r="AX11" i="19"/>
  <c r="AX10" i="19"/>
  <c r="AY10" i="19" s="1"/>
  <c r="AL12" i="19"/>
  <c r="AH12" i="19"/>
  <c r="AD12" i="19"/>
  <c r="Z12" i="19"/>
  <c r="V12" i="19"/>
  <c r="R12" i="19"/>
  <c r="N12" i="19"/>
  <c r="J12" i="19"/>
  <c r="AY11" i="19"/>
  <c r="AL11" i="19"/>
  <c r="AH11" i="19"/>
  <c r="AD11" i="19"/>
  <c r="Z11" i="19"/>
  <c r="V11" i="19"/>
  <c r="R11" i="19"/>
  <c r="N11" i="19"/>
  <c r="J11" i="19"/>
  <c r="AL10" i="19"/>
  <c r="AH10" i="19"/>
  <c r="AD10" i="19"/>
  <c r="Z10" i="19"/>
  <c r="V10" i="19"/>
  <c r="R10" i="19"/>
  <c r="N10" i="19"/>
  <c r="J10" i="19"/>
  <c r="J76" i="19"/>
  <c r="N71" i="19"/>
  <c r="M71" i="19"/>
  <c r="L71" i="19"/>
  <c r="L72" i="19" s="1"/>
  <c r="K71" i="19"/>
  <c r="H66" i="19"/>
  <c r="I66" i="19" s="1"/>
  <c r="C67" i="19" s="1"/>
  <c r="D67" i="19" s="1"/>
  <c r="E67" i="19" s="1"/>
  <c r="F67" i="19" s="1"/>
  <c r="G67" i="19" s="1"/>
  <c r="H67" i="19" s="1"/>
  <c r="I67" i="19" s="1"/>
  <c r="C68" i="19" s="1"/>
  <c r="D68" i="19" s="1"/>
  <c r="E68" i="19" s="1"/>
  <c r="F68" i="19" s="1"/>
  <c r="G68" i="19" s="1"/>
  <c r="H68" i="19" s="1"/>
  <c r="I68" i="19" s="1"/>
  <c r="C69" i="19" s="1"/>
  <c r="D69" i="19" s="1"/>
  <c r="E69" i="19" s="1"/>
  <c r="F69" i="19" s="1"/>
  <c r="F62" i="19"/>
  <c r="G62" i="19" s="1"/>
  <c r="H62" i="19" s="1"/>
  <c r="I62" i="19" s="1"/>
  <c r="C63" i="19" s="1"/>
  <c r="D63" i="19" s="1"/>
  <c r="E63" i="19" s="1"/>
  <c r="F63" i="19" s="1"/>
  <c r="G63" i="19" s="1"/>
  <c r="H63" i="19" s="1"/>
  <c r="I63" i="19" s="1"/>
  <c r="C64" i="19" s="1"/>
  <c r="D64" i="19" s="1"/>
  <c r="E64" i="19" s="1"/>
  <c r="F64" i="19" s="1"/>
  <c r="G64" i="19" s="1"/>
  <c r="H64" i="19" s="1"/>
  <c r="I64" i="19" s="1"/>
  <c r="C65" i="19" s="1"/>
  <c r="D65" i="19" s="1"/>
  <c r="E65" i="19" s="1"/>
  <c r="F65" i="19" s="1"/>
  <c r="G65" i="19" s="1"/>
  <c r="H65" i="19" s="1"/>
  <c r="I65" i="19" s="1"/>
  <c r="C66" i="19" s="1"/>
  <c r="D66" i="19" s="1"/>
  <c r="E66" i="19" s="1"/>
  <c r="F66" i="19" s="1"/>
  <c r="C58" i="19"/>
  <c r="D58" i="19" s="1"/>
  <c r="E58" i="19" s="1"/>
  <c r="F58" i="19" s="1"/>
  <c r="G58" i="19" s="1"/>
  <c r="H58" i="19" s="1"/>
  <c r="I58" i="19" s="1"/>
  <c r="C59" i="19" s="1"/>
  <c r="D59" i="19" s="1"/>
  <c r="E59" i="19" s="1"/>
  <c r="F59" i="19" s="1"/>
  <c r="G59" i="19" s="1"/>
  <c r="H59" i="19" s="1"/>
  <c r="I59" i="19" s="1"/>
  <c r="C60" i="19" s="1"/>
  <c r="D60" i="19" s="1"/>
  <c r="E60" i="19" s="1"/>
  <c r="F60" i="19" s="1"/>
  <c r="G60" i="19" s="1"/>
  <c r="H60" i="19" s="1"/>
  <c r="I60" i="19" s="1"/>
  <c r="C61" i="19" s="1"/>
  <c r="D61" i="19" s="1"/>
  <c r="E61" i="19" s="1"/>
  <c r="F61" i="19" s="1"/>
  <c r="G61" i="19" s="1"/>
  <c r="H61" i="19" s="1"/>
  <c r="I61" i="19" s="1"/>
  <c r="C62" i="19" s="1"/>
  <c r="D62" i="19" s="1"/>
  <c r="H53" i="19"/>
  <c r="I53" i="19" s="1"/>
  <c r="C54" i="19" s="1"/>
  <c r="D54" i="19" s="1"/>
  <c r="E54" i="19" s="1"/>
  <c r="F54" i="19" s="1"/>
  <c r="G54" i="19" s="1"/>
  <c r="H54" i="19" s="1"/>
  <c r="I54" i="19" s="1"/>
  <c r="C55" i="19" s="1"/>
  <c r="D55" i="19" s="1"/>
  <c r="E55" i="19" s="1"/>
  <c r="F55" i="19" s="1"/>
  <c r="G55" i="19" s="1"/>
  <c r="H55" i="19" s="1"/>
  <c r="I55" i="19" s="1"/>
  <c r="C56" i="19" s="1"/>
  <c r="D56" i="19" s="1"/>
  <c r="E56" i="19" s="1"/>
  <c r="F56" i="19" s="1"/>
  <c r="G56" i="19" s="1"/>
  <c r="H56" i="19" s="1"/>
  <c r="I56" i="19" s="1"/>
  <c r="C57" i="19" s="1"/>
  <c r="D57" i="19" s="1"/>
  <c r="E57" i="19" s="1"/>
  <c r="F57" i="19" s="1"/>
  <c r="G57" i="19" s="1"/>
  <c r="H57" i="19" s="1"/>
  <c r="E49" i="19"/>
  <c r="F49" i="19" s="1"/>
  <c r="G49" i="19" s="1"/>
  <c r="H49" i="19" s="1"/>
  <c r="I49" i="19" s="1"/>
  <c r="C50" i="19" s="1"/>
  <c r="D50" i="19" s="1"/>
  <c r="E50" i="19" s="1"/>
  <c r="F50" i="19" s="1"/>
  <c r="G50" i="19" s="1"/>
  <c r="H50" i="19" s="1"/>
  <c r="I50" i="19" s="1"/>
  <c r="C51" i="19" s="1"/>
  <c r="D51" i="19" s="1"/>
  <c r="E51" i="19" s="1"/>
  <c r="F51" i="19" s="1"/>
  <c r="G51" i="19" s="1"/>
  <c r="H51" i="19" s="1"/>
  <c r="I51" i="19" s="1"/>
  <c r="C52" i="19" s="1"/>
  <c r="D52" i="19" s="1"/>
  <c r="E52" i="19" s="1"/>
  <c r="F52" i="19" s="1"/>
  <c r="G52" i="19" s="1"/>
  <c r="H52" i="19" s="1"/>
  <c r="I52" i="19" s="1"/>
  <c r="C53" i="19" s="1"/>
  <c r="D53" i="19" s="1"/>
  <c r="E53" i="19" s="1"/>
  <c r="F53" i="19" s="1"/>
  <c r="I44" i="19"/>
  <c r="C45" i="19" s="1"/>
  <c r="D45" i="19" s="1"/>
  <c r="E45" i="19" s="1"/>
  <c r="F45" i="19" s="1"/>
  <c r="G45" i="19" s="1"/>
  <c r="H45" i="19" s="1"/>
  <c r="I45" i="19" s="1"/>
  <c r="C46" i="19" s="1"/>
  <c r="D46" i="19" s="1"/>
  <c r="E46" i="19" s="1"/>
  <c r="F46" i="19" s="1"/>
  <c r="G46" i="19" s="1"/>
  <c r="H46" i="19" s="1"/>
  <c r="I46" i="19" s="1"/>
  <c r="C47" i="19" s="1"/>
  <c r="D47" i="19" s="1"/>
  <c r="E47" i="19" s="1"/>
  <c r="F47" i="19" s="1"/>
  <c r="G47" i="19" s="1"/>
  <c r="H47" i="19" s="1"/>
  <c r="I47" i="19" s="1"/>
  <c r="C48" i="19" s="1"/>
  <c r="D48" i="19" s="1"/>
  <c r="E48" i="19" s="1"/>
  <c r="F48" i="19" s="1"/>
  <c r="G48" i="19" s="1"/>
  <c r="H48" i="19" s="1"/>
  <c r="I48" i="19" s="1"/>
  <c r="C49" i="19" s="1"/>
  <c r="G40" i="19"/>
  <c r="H40" i="19" s="1"/>
  <c r="I40" i="19" s="1"/>
  <c r="C41" i="19" s="1"/>
  <c r="D41" i="19" s="1"/>
  <c r="E41" i="19" s="1"/>
  <c r="F41" i="19" s="1"/>
  <c r="G41" i="19" s="1"/>
  <c r="H41" i="19" s="1"/>
  <c r="I41" i="19" s="1"/>
  <c r="C42" i="19" s="1"/>
  <c r="D42" i="19" s="1"/>
  <c r="E42" i="19" s="1"/>
  <c r="F42" i="19" s="1"/>
  <c r="G42" i="19" s="1"/>
  <c r="H42" i="19" s="1"/>
  <c r="I42" i="19" s="1"/>
  <c r="C43" i="19" s="1"/>
  <c r="D43" i="19" s="1"/>
  <c r="E43" i="19" s="1"/>
  <c r="F43" i="19" s="1"/>
  <c r="G43" i="19" s="1"/>
  <c r="H43" i="19" s="1"/>
  <c r="I43" i="19" s="1"/>
  <c r="C44" i="19" s="1"/>
  <c r="D44" i="19" s="1"/>
  <c r="E44" i="19" s="1"/>
  <c r="F44" i="19" s="1"/>
  <c r="G44" i="19" s="1"/>
  <c r="D36" i="19"/>
  <c r="E36" i="19" s="1"/>
  <c r="F36" i="19" s="1"/>
  <c r="G36" i="19" s="1"/>
  <c r="H36" i="19" s="1"/>
  <c r="I36" i="19" s="1"/>
  <c r="C37" i="19" s="1"/>
  <c r="D37" i="19" s="1"/>
  <c r="E37" i="19" s="1"/>
  <c r="F37" i="19" s="1"/>
  <c r="G37" i="19" s="1"/>
  <c r="H37" i="19" s="1"/>
  <c r="I37" i="19" s="1"/>
  <c r="C38" i="19" s="1"/>
  <c r="D38" i="19" s="1"/>
  <c r="E38" i="19" s="1"/>
  <c r="F38" i="19" s="1"/>
  <c r="G38" i="19" s="1"/>
  <c r="H38" i="19" s="1"/>
  <c r="I38" i="19" s="1"/>
  <c r="C39" i="19" s="1"/>
  <c r="D39" i="19" s="1"/>
  <c r="E39" i="19" s="1"/>
  <c r="F39" i="19" s="1"/>
  <c r="G39" i="19" s="1"/>
  <c r="H39" i="19" s="1"/>
  <c r="I39" i="19" s="1"/>
  <c r="C40" i="19" s="1"/>
  <c r="D40" i="19" s="1"/>
  <c r="E40" i="19" s="1"/>
  <c r="I31" i="19"/>
  <c r="C32" i="19" s="1"/>
  <c r="D32" i="19" s="1"/>
  <c r="E32" i="19" s="1"/>
  <c r="F32" i="19" s="1"/>
  <c r="G32" i="19" s="1"/>
  <c r="H32" i="19" s="1"/>
  <c r="I32" i="19" s="1"/>
  <c r="C33" i="19" s="1"/>
  <c r="D33" i="19" s="1"/>
  <c r="E33" i="19" s="1"/>
  <c r="F33" i="19" s="1"/>
  <c r="G33" i="19" s="1"/>
  <c r="H33" i="19" s="1"/>
  <c r="I33" i="19" s="1"/>
  <c r="C34" i="19" s="1"/>
  <c r="D34" i="19" s="1"/>
  <c r="E34" i="19" s="1"/>
  <c r="F34" i="19" s="1"/>
  <c r="G34" i="19" s="1"/>
  <c r="H34" i="19" s="1"/>
  <c r="I34" i="19" s="1"/>
  <c r="C35" i="19" s="1"/>
  <c r="D35" i="19" s="1"/>
  <c r="E35" i="19" s="1"/>
  <c r="F35" i="19" s="1"/>
  <c r="G35" i="19" s="1"/>
  <c r="H35" i="19" s="1"/>
  <c r="I35" i="19" s="1"/>
  <c r="F27" i="19"/>
  <c r="G27" i="19" s="1"/>
  <c r="H27" i="19" s="1"/>
  <c r="I27" i="19" s="1"/>
  <c r="C28" i="19" s="1"/>
  <c r="D28" i="19" s="1"/>
  <c r="E28" i="19" s="1"/>
  <c r="F28" i="19" s="1"/>
  <c r="G28" i="19" s="1"/>
  <c r="H28" i="19" s="1"/>
  <c r="I28" i="19" s="1"/>
  <c r="C29" i="19" s="1"/>
  <c r="D29" i="19" s="1"/>
  <c r="E29" i="19" s="1"/>
  <c r="F29" i="19" s="1"/>
  <c r="G29" i="19" s="1"/>
  <c r="H29" i="19" s="1"/>
  <c r="I29" i="19" s="1"/>
  <c r="C30" i="19" s="1"/>
  <c r="D30" i="19" s="1"/>
  <c r="E30" i="19" s="1"/>
  <c r="F30" i="19" s="1"/>
  <c r="G30" i="19" s="1"/>
  <c r="H30" i="19" s="1"/>
  <c r="I30" i="19" s="1"/>
  <c r="C31" i="19" s="1"/>
  <c r="D31" i="19" s="1"/>
  <c r="E31" i="19" s="1"/>
  <c r="F31" i="19" s="1"/>
  <c r="G31" i="19" s="1"/>
  <c r="F23" i="19"/>
  <c r="G23" i="19" s="1"/>
  <c r="H23" i="19" s="1"/>
  <c r="I23" i="19" s="1"/>
  <c r="C24" i="19" s="1"/>
  <c r="D24" i="19" s="1"/>
  <c r="E24" i="19" s="1"/>
  <c r="F24" i="19" s="1"/>
  <c r="G24" i="19" s="1"/>
  <c r="H24" i="19" s="1"/>
  <c r="I24" i="19" s="1"/>
  <c r="C25" i="19" s="1"/>
  <c r="D25" i="19" s="1"/>
  <c r="E25" i="19" s="1"/>
  <c r="F25" i="19" s="1"/>
  <c r="G25" i="19" s="1"/>
  <c r="H25" i="19" s="1"/>
  <c r="I25" i="19" s="1"/>
  <c r="C26" i="19" s="1"/>
  <c r="D26" i="19" s="1"/>
  <c r="E26" i="19" s="1"/>
  <c r="F26" i="19" s="1"/>
  <c r="G26" i="19" s="1"/>
  <c r="H26" i="19" s="1"/>
  <c r="I26" i="19" s="1"/>
  <c r="C27" i="19" s="1"/>
  <c r="D27" i="19" s="1"/>
  <c r="C19" i="19"/>
  <c r="AX9" i="19"/>
  <c r="AY9" i="19" s="1"/>
  <c r="AL9" i="19"/>
  <c r="AH9" i="19"/>
  <c r="AD9" i="19"/>
  <c r="Z9" i="19"/>
  <c r="V9" i="19"/>
  <c r="R9" i="19"/>
  <c r="N9" i="19"/>
  <c r="J9" i="19"/>
  <c r="AX8" i="19"/>
  <c r="AY8" i="19" s="1"/>
  <c r="AL8" i="19"/>
  <c r="AH8" i="19"/>
  <c r="AD8" i="19"/>
  <c r="Z8" i="19"/>
  <c r="V8" i="19"/>
  <c r="R8" i="19"/>
  <c r="N8" i="19"/>
  <c r="J8" i="19"/>
  <c r="AX7" i="19"/>
  <c r="AY7" i="19" s="1"/>
  <c r="AL7" i="19"/>
  <c r="AH7" i="19"/>
  <c r="AD7" i="19"/>
  <c r="Z7" i="19"/>
  <c r="V7" i="19"/>
  <c r="R7" i="19"/>
  <c r="N7" i="19"/>
  <c r="J7" i="19"/>
  <c r="AH4" i="19"/>
  <c r="E15" i="3"/>
  <c r="D15" i="3"/>
  <c r="C15" i="3"/>
  <c r="AN8" i="19" l="1"/>
  <c r="AN13" i="19"/>
  <c r="AN9" i="19"/>
  <c r="AN14" i="19"/>
  <c r="AN10" i="19"/>
  <c r="AN15" i="19"/>
  <c r="AN11" i="19"/>
  <c r="AN12" i="19"/>
  <c r="AN7" i="19"/>
  <c r="G9" i="26"/>
  <c r="D21" i="26" s="1"/>
  <c r="G10" i="26"/>
  <c r="E21" i="26" s="1"/>
  <c r="G8" i="24"/>
  <c r="C21" i="24" s="1"/>
  <c r="F24" i="24"/>
  <c r="J24" i="24" s="1"/>
  <c r="G10" i="24"/>
  <c r="E21" i="24" s="1"/>
  <c r="F24" i="23"/>
  <c r="G9" i="23"/>
  <c r="D21" i="23" s="1"/>
  <c r="J24" i="22"/>
  <c r="G24" i="22"/>
  <c r="K24" i="22"/>
  <c r="G10" i="22"/>
  <c r="E21" i="22" s="1"/>
  <c r="F24" i="20"/>
  <c r="L24" i="20" s="1"/>
  <c r="M24" i="20" s="1"/>
  <c r="M20" i="20" s="1"/>
  <c r="F24" i="26"/>
  <c r="L24" i="26" s="1"/>
  <c r="G8" i="26"/>
  <c r="C21" i="26" s="1"/>
  <c r="F24" i="25"/>
  <c r="L24" i="25" s="1"/>
  <c r="G9" i="25"/>
  <c r="D21" i="25" s="1"/>
  <c r="C22" i="24"/>
  <c r="G9" i="24"/>
  <c r="D21" i="24" s="1"/>
  <c r="G8" i="23"/>
  <c r="C21" i="23" s="1"/>
  <c r="C22" i="23" s="1"/>
  <c r="L24" i="22"/>
  <c r="G9" i="22"/>
  <c r="D21" i="22" s="1"/>
  <c r="G8" i="20"/>
  <c r="C21" i="20" s="1"/>
  <c r="F24" i="3"/>
  <c r="L24" i="3" s="1"/>
  <c r="M24" i="3" s="1"/>
  <c r="G11" i="26"/>
  <c r="D23" i="26" s="1"/>
  <c r="G12" i="26"/>
  <c r="E23" i="26" s="1"/>
  <c r="C22" i="25"/>
  <c r="G11" i="25"/>
  <c r="D23" i="25" s="1"/>
  <c r="G12" i="25"/>
  <c r="E23" i="25" s="1"/>
  <c r="G11" i="24"/>
  <c r="D23" i="24" s="1"/>
  <c r="G12" i="24"/>
  <c r="E23" i="24" s="1"/>
  <c r="L24" i="24"/>
  <c r="K24" i="24"/>
  <c r="G24" i="24"/>
  <c r="G11" i="23"/>
  <c r="D23" i="23" s="1"/>
  <c r="G12" i="23"/>
  <c r="E23" i="23" s="1"/>
  <c r="L24" i="23"/>
  <c r="K24" i="23"/>
  <c r="J24" i="23"/>
  <c r="G24" i="23"/>
  <c r="C22" i="22"/>
  <c r="G11" i="22"/>
  <c r="D23" i="22" s="1"/>
  <c r="G12" i="22"/>
  <c r="E23" i="22" s="1"/>
  <c r="N24" i="22"/>
  <c r="G11" i="20"/>
  <c r="D23" i="20" s="1"/>
  <c r="G12" i="20"/>
  <c r="E23" i="20" s="1"/>
  <c r="C22" i="3"/>
  <c r="D19" i="19"/>
  <c r="F75" i="19"/>
  <c r="J75" i="19" s="1"/>
  <c r="AQ10" i="19" s="1"/>
  <c r="BB10" i="19" s="1"/>
  <c r="G69" i="19"/>
  <c r="H69" i="19" s="1"/>
  <c r="I69" i="19" s="1"/>
  <c r="C70" i="19" s="1"/>
  <c r="D70" i="19" s="1"/>
  <c r="E70" i="19" s="1"/>
  <c r="F70" i="19" s="1"/>
  <c r="G70" i="19" s="1"/>
  <c r="H70" i="19" s="1"/>
  <c r="I70" i="19" s="1"/>
  <c r="AQ14" i="19" l="1"/>
  <c r="BB14" i="19" s="1"/>
  <c r="AQ12" i="19"/>
  <c r="BB12" i="19" s="1"/>
  <c r="AQ11" i="19"/>
  <c r="BB11" i="19" s="1"/>
  <c r="AQ15" i="19"/>
  <c r="BB15" i="19" s="1"/>
  <c r="AQ13" i="19"/>
  <c r="BB13" i="19" s="1"/>
  <c r="G24" i="25"/>
  <c r="N24" i="25" s="1"/>
  <c r="J24" i="25"/>
  <c r="K24" i="25"/>
  <c r="J24" i="20"/>
  <c r="K24" i="20"/>
  <c r="G24" i="20"/>
  <c r="N24" i="20" s="1"/>
  <c r="G24" i="26"/>
  <c r="J24" i="26"/>
  <c r="K24" i="26"/>
  <c r="C22" i="26"/>
  <c r="N24" i="24"/>
  <c r="N24" i="23"/>
  <c r="C22" i="20"/>
  <c r="G24" i="3"/>
  <c r="J24" i="3"/>
  <c r="K24" i="3"/>
  <c r="M20" i="3"/>
  <c r="AQ7" i="19"/>
  <c r="BB7" i="19" s="1"/>
  <c r="AQ8" i="19"/>
  <c r="BB8" i="19" s="1"/>
  <c r="AQ9" i="19"/>
  <c r="BB9" i="19" s="1"/>
  <c r="E19" i="19"/>
  <c r="N24" i="3" l="1"/>
  <c r="N24" i="26"/>
  <c r="F19" i="19"/>
  <c r="G19" i="19" l="1"/>
  <c r="H19" i="19" l="1"/>
  <c r="I19" i="19" l="1"/>
  <c r="C20" i="19" l="1"/>
  <c r="D20" i="19" l="1"/>
  <c r="E20" i="19" l="1"/>
  <c r="F20" i="19" l="1"/>
  <c r="G20" i="19" l="1"/>
  <c r="H20" i="19" l="1"/>
  <c r="I20" i="19" l="1"/>
  <c r="C21" i="19" l="1"/>
  <c r="D21" i="19" l="1"/>
  <c r="E21" i="19" l="1"/>
  <c r="F21" i="19" l="1"/>
  <c r="G21" i="19" l="1"/>
  <c r="H21" i="19" l="1"/>
  <c r="I21" i="19" l="1"/>
  <c r="C22" i="19" l="1"/>
  <c r="D22" i="19" l="1"/>
  <c r="E22" i="19" l="1"/>
  <c r="F22" i="19" l="1"/>
  <c r="E71" i="19"/>
  <c r="E72" i="19" s="1"/>
  <c r="G22" i="19" l="1"/>
  <c r="F71" i="19"/>
  <c r="F72" i="19" s="1"/>
  <c r="H22" i="19" l="1"/>
  <c r="G71" i="19"/>
  <c r="G72" i="19" s="1"/>
  <c r="I22" i="19" l="1"/>
  <c r="H71" i="19"/>
  <c r="H73" i="19" l="1"/>
  <c r="J73" i="19" s="1"/>
  <c r="C23" i="19"/>
  <c r="I71" i="19"/>
  <c r="H72" i="19" l="1"/>
  <c r="I74" i="19"/>
  <c r="J74" i="19" s="1"/>
  <c r="I72" i="19"/>
  <c r="D23" i="19"/>
  <c r="D71" i="19" s="1"/>
  <c r="D72" i="19" s="1"/>
  <c r="C71" i="19"/>
  <c r="C72" i="19" l="1"/>
  <c r="J71" i="19"/>
  <c r="AO12" i="19" l="1"/>
  <c r="AP11" i="19"/>
  <c r="BA11" i="19" s="1"/>
  <c r="AP12" i="19"/>
  <c r="BA12" i="19" s="1"/>
  <c r="AO15" i="19"/>
  <c r="AO11" i="19"/>
  <c r="AP14" i="19"/>
  <c r="BA14" i="19" s="1"/>
  <c r="AO14" i="19"/>
  <c r="AP10" i="19"/>
  <c r="BA10" i="19" s="1"/>
  <c r="AO10" i="19"/>
  <c r="AO13" i="19"/>
  <c r="AP15" i="19"/>
  <c r="BA15" i="19" s="1"/>
  <c r="AP13" i="19"/>
  <c r="BA13" i="19" s="1"/>
  <c r="J72" i="19"/>
  <c r="AP7" i="19"/>
  <c r="BA7" i="19" s="1"/>
  <c r="AO7" i="19"/>
  <c r="BC7" i="19" s="1"/>
  <c r="AP8" i="19"/>
  <c r="BA8" i="19" s="1"/>
  <c r="AO8" i="19"/>
  <c r="AP9" i="19"/>
  <c r="BA9" i="19" s="1"/>
  <c r="AO9" i="19"/>
  <c r="AR14" i="19" l="1"/>
  <c r="AS14" i="19" s="1"/>
  <c r="AT14" i="19" s="1"/>
  <c r="AZ14" i="19"/>
  <c r="BC14" i="19"/>
  <c r="AR11" i="19"/>
  <c r="AS11" i="19" s="1"/>
  <c r="AT11" i="19" s="1"/>
  <c r="AZ11" i="19"/>
  <c r="BC11" i="19"/>
  <c r="AR15" i="19"/>
  <c r="AS15" i="19" s="1"/>
  <c r="AT15" i="19" s="1"/>
  <c r="BC15" i="19"/>
  <c r="AZ15" i="19"/>
  <c r="AR13" i="19"/>
  <c r="AS13" i="19" s="1"/>
  <c r="AT13" i="19" s="1"/>
  <c r="BC13" i="19"/>
  <c r="AZ13" i="19"/>
  <c r="BD13" i="19" s="1"/>
  <c r="BE13" i="19" s="1"/>
  <c r="AR10" i="19"/>
  <c r="AS10" i="19" s="1"/>
  <c r="AT10" i="19" s="1"/>
  <c r="BC10" i="19"/>
  <c r="AZ10" i="19"/>
  <c r="AR12" i="19"/>
  <c r="AS12" i="19" s="1"/>
  <c r="AT12" i="19" s="1"/>
  <c r="BC12" i="19"/>
  <c r="AZ12" i="19"/>
  <c r="AR9" i="19"/>
  <c r="AS9" i="19" s="1"/>
  <c r="AT9" i="19" s="1"/>
  <c r="BC9" i="19"/>
  <c r="AZ9" i="19"/>
  <c r="BD9" i="19" s="1"/>
  <c r="BE9" i="19" s="1"/>
  <c r="AR8" i="19"/>
  <c r="AS8" i="19" s="1"/>
  <c r="AT8" i="19" s="1"/>
  <c r="BC8" i="19"/>
  <c r="AZ8" i="19"/>
  <c r="BD8" i="19" s="1"/>
  <c r="BE8" i="19" s="1"/>
  <c r="AR7" i="19"/>
  <c r="AZ7" i="19"/>
  <c r="BD10" i="19" l="1"/>
  <c r="BE10" i="19" s="1"/>
  <c r="BD11" i="19"/>
  <c r="BE11" i="19" s="1"/>
  <c r="D17" i="3"/>
  <c r="D17" i="20"/>
  <c r="D17" i="26"/>
  <c r="D17" i="25"/>
  <c r="D17" i="24"/>
  <c r="D17" i="22"/>
  <c r="D17" i="23"/>
  <c r="BD14" i="19"/>
  <c r="BE14" i="19" s="1"/>
  <c r="E17" i="3"/>
  <c r="E17" i="24"/>
  <c r="E17" i="22"/>
  <c r="E17" i="23"/>
  <c r="E17" i="20"/>
  <c r="E17" i="26"/>
  <c r="E17" i="25"/>
  <c r="BD12" i="19"/>
  <c r="BE12" i="19" s="1"/>
  <c r="BD15" i="19"/>
  <c r="BE15" i="19" s="1"/>
  <c r="AS7" i="19"/>
  <c r="E16" i="20" l="1"/>
  <c r="E16" i="3"/>
  <c r="E16" i="26"/>
  <c r="E16" i="22"/>
  <c r="E16" i="25"/>
  <c r="E16" i="24"/>
  <c r="E16" i="23"/>
  <c r="D16" i="3"/>
  <c r="F23" i="3" s="1"/>
  <c r="D16" i="26"/>
  <c r="D16" i="25"/>
  <c r="D16" i="24"/>
  <c r="D16" i="20"/>
  <c r="D16" i="23"/>
  <c r="D16" i="22"/>
  <c r="F23" i="22" s="1"/>
  <c r="AT7" i="19"/>
  <c r="BD7" i="19" s="1"/>
  <c r="F23" i="20" l="1"/>
  <c r="J23" i="22"/>
  <c r="L23" i="22"/>
  <c r="G23" i="22"/>
  <c r="K23" i="22"/>
  <c r="N23" i="22" s="1"/>
  <c r="K23" i="20"/>
  <c r="J23" i="20"/>
  <c r="G23" i="20"/>
  <c r="N23" i="20" s="1"/>
  <c r="L23" i="20"/>
  <c r="F23" i="24"/>
  <c r="F23" i="25"/>
  <c r="J23" i="3"/>
  <c r="K23" i="3"/>
  <c r="G23" i="3"/>
  <c r="N23" i="3" s="1"/>
  <c r="L23" i="3"/>
  <c r="F23" i="23"/>
  <c r="F23" i="26"/>
  <c r="BE7" i="19"/>
  <c r="BF7" i="19"/>
  <c r="K23" i="25" l="1"/>
  <c r="L23" i="25"/>
  <c r="J23" i="25"/>
  <c r="G23" i="25"/>
  <c r="N23" i="25" s="1"/>
  <c r="K23" i="24"/>
  <c r="J23" i="24"/>
  <c r="L23" i="24"/>
  <c r="G23" i="24"/>
  <c r="L23" i="26"/>
  <c r="G23" i="26"/>
  <c r="K23" i="26"/>
  <c r="J23" i="26"/>
  <c r="K23" i="23"/>
  <c r="J23" i="23"/>
  <c r="G23" i="23"/>
  <c r="N23" i="23" s="1"/>
  <c r="L23" i="23"/>
  <c r="C17" i="26"/>
  <c r="C17" i="25"/>
  <c r="C17" i="24"/>
  <c r="C17" i="23"/>
  <c r="C17" i="22"/>
  <c r="C17" i="20"/>
  <c r="C17" i="3"/>
  <c r="N23" i="26" l="1"/>
  <c r="N23" i="24"/>
  <c r="F21" i="3"/>
  <c r="F22" i="3"/>
  <c r="F21" i="20"/>
  <c r="F22" i="20"/>
  <c r="F21" i="22"/>
  <c r="F22" i="22"/>
  <c r="F21" i="23"/>
  <c r="F22" i="23"/>
  <c r="F21" i="24"/>
  <c r="F22" i="24"/>
  <c r="F21" i="25"/>
  <c r="F22" i="25"/>
  <c r="F21" i="26"/>
  <c r="F22" i="26"/>
  <c r="F20" i="26" l="1"/>
  <c r="D13" i="21" s="1"/>
  <c r="F20" i="25"/>
  <c r="D12" i="21" s="1"/>
  <c r="F20" i="24"/>
  <c r="D11" i="21" s="1"/>
  <c r="F20" i="23"/>
  <c r="D9" i="21" s="1"/>
  <c r="F20" i="22"/>
  <c r="D8" i="21" s="1"/>
  <c r="F20" i="20"/>
  <c r="D7" i="21" s="1"/>
  <c r="F20" i="3"/>
  <c r="D6" i="21" s="1"/>
  <c r="L22" i="26"/>
  <c r="K22" i="26"/>
  <c r="J22" i="26"/>
  <c r="G22" i="26"/>
  <c r="L21" i="26"/>
  <c r="K21" i="26"/>
  <c r="J21" i="26"/>
  <c r="G21" i="26"/>
  <c r="L22" i="25"/>
  <c r="K22" i="25"/>
  <c r="J22" i="25"/>
  <c r="G22" i="25"/>
  <c r="L21" i="25"/>
  <c r="K21" i="25"/>
  <c r="K20" i="25" s="1"/>
  <c r="I12" i="21" s="1"/>
  <c r="J21" i="25"/>
  <c r="G21" i="25"/>
  <c r="L22" i="24"/>
  <c r="K22" i="24"/>
  <c r="J22" i="24"/>
  <c r="G22" i="24"/>
  <c r="L21" i="24"/>
  <c r="K21" i="24"/>
  <c r="K20" i="24" s="1"/>
  <c r="I11" i="21" s="1"/>
  <c r="J21" i="24"/>
  <c r="G21" i="24"/>
  <c r="L22" i="23"/>
  <c r="K22" i="23"/>
  <c r="J22" i="23"/>
  <c r="G22" i="23"/>
  <c r="L21" i="23"/>
  <c r="K21" i="23"/>
  <c r="J21" i="23"/>
  <c r="G21" i="23"/>
  <c r="L22" i="22"/>
  <c r="K22" i="22"/>
  <c r="J22" i="22"/>
  <c r="G22" i="22"/>
  <c r="L21" i="22"/>
  <c r="K21" i="22"/>
  <c r="K20" i="22" s="1"/>
  <c r="I8" i="21" s="1"/>
  <c r="J21" i="22"/>
  <c r="J20" i="22" s="1"/>
  <c r="H8" i="21" s="1"/>
  <c r="G21" i="22"/>
  <c r="L22" i="20"/>
  <c r="K22" i="20"/>
  <c r="J22" i="20"/>
  <c r="G22" i="20"/>
  <c r="L21" i="20"/>
  <c r="K21" i="20"/>
  <c r="K20" i="20" s="1"/>
  <c r="I7" i="21" s="1"/>
  <c r="J21" i="20"/>
  <c r="G21" i="20"/>
  <c r="G22" i="3"/>
  <c r="J22" i="3"/>
  <c r="K22" i="3"/>
  <c r="L22" i="3"/>
  <c r="L21" i="3"/>
  <c r="K21" i="3"/>
  <c r="J21" i="3"/>
  <c r="G21" i="3"/>
  <c r="L20" i="26" l="1"/>
  <c r="J13" i="21" s="1"/>
  <c r="N22" i="26"/>
  <c r="L20" i="25"/>
  <c r="J12" i="21" s="1"/>
  <c r="L20" i="23"/>
  <c r="J9" i="21" s="1"/>
  <c r="N22" i="23"/>
  <c r="L20" i="22"/>
  <c r="J8" i="21" s="1"/>
  <c r="N22" i="22"/>
  <c r="N22" i="3"/>
  <c r="K20" i="26"/>
  <c r="I13" i="21" s="1"/>
  <c r="N22" i="25"/>
  <c r="L20" i="24"/>
  <c r="J11" i="21" s="1"/>
  <c r="N22" i="24"/>
  <c r="K20" i="23"/>
  <c r="I9" i="21" s="1"/>
  <c r="L20" i="20"/>
  <c r="J7" i="21" s="1"/>
  <c r="N22" i="20"/>
  <c r="J20" i="3"/>
  <c r="H6" i="21" s="1"/>
  <c r="L20" i="3"/>
  <c r="J6" i="21" s="1"/>
  <c r="N21" i="3"/>
  <c r="G20" i="3"/>
  <c r="E6" i="21" s="1"/>
  <c r="K20" i="3"/>
  <c r="I6" i="21" s="1"/>
  <c r="N21" i="20"/>
  <c r="G20" i="20"/>
  <c r="E7" i="21" s="1"/>
  <c r="J20" i="20"/>
  <c r="H7" i="21" s="1"/>
  <c r="N21" i="22"/>
  <c r="N26" i="22" s="1"/>
  <c r="C8" i="21" s="1"/>
  <c r="G20" i="22"/>
  <c r="E8" i="21" s="1"/>
  <c r="N21" i="23"/>
  <c r="G20" i="23"/>
  <c r="E9" i="21" s="1"/>
  <c r="J20" i="23"/>
  <c r="H9" i="21" s="1"/>
  <c r="N21" i="24"/>
  <c r="N26" i="24" s="1"/>
  <c r="C11" i="21" s="1"/>
  <c r="G20" i="24"/>
  <c r="E11" i="21" s="1"/>
  <c r="J20" i="24"/>
  <c r="H11" i="21" s="1"/>
  <c r="N21" i="25"/>
  <c r="N26" i="25" s="1"/>
  <c r="C12" i="21" s="1"/>
  <c r="G20" i="25"/>
  <c r="E12" i="21" s="1"/>
  <c r="J20" i="25"/>
  <c r="H12" i="21" s="1"/>
  <c r="N21" i="26"/>
  <c r="G20" i="26"/>
  <c r="E13" i="21" s="1"/>
  <c r="J20" i="26"/>
  <c r="H13" i="21" s="1"/>
  <c r="N26" i="23" l="1"/>
  <c r="C9" i="21" s="1"/>
  <c r="N26" i="3"/>
  <c r="C6" i="21" s="1"/>
  <c r="N26" i="26"/>
  <c r="C13" i="21" s="1"/>
  <c r="N26" i="20"/>
  <c r="C7" i="21" s="1"/>
</calcChain>
</file>

<file path=xl/sharedStrings.xml><?xml version="1.0" encoding="utf-8"?>
<sst xmlns="http://schemas.openxmlformats.org/spreadsheetml/2006/main" count="581" uniqueCount="194">
  <si>
    <t>Hronisko pacientu aprūpe ar ārstēšanās ilgumu līdz 14 gultasdienām</t>
  </si>
  <si>
    <t>D</t>
  </si>
  <si>
    <t>S</t>
  </si>
  <si>
    <t>M</t>
  </si>
  <si>
    <t>E</t>
  </si>
  <si>
    <t>U</t>
  </si>
  <si>
    <t>A</t>
  </si>
  <si>
    <t>N</t>
  </si>
  <si>
    <t xml:space="preserve">Darba samaksa </t>
  </si>
  <si>
    <t>Valsts sociālās apdrošināšanas obligātās iemaksas</t>
  </si>
  <si>
    <t>Ārstniecības līdzekļi</t>
  </si>
  <si>
    <t>Izdevumi, saistīti ar pacientu ēdināšanu</t>
  </si>
  <si>
    <t>Pieskaitāmās un netiešās ražošanas izmaksas</t>
  </si>
  <si>
    <t>Administratīvie izdevumi</t>
  </si>
  <si>
    <t>Nolietojums</t>
  </si>
  <si>
    <t>Bērnu klīniskā universitātes slimnīca</t>
  </si>
  <si>
    <t>253.68</t>
  </si>
  <si>
    <t xml:space="preserve">Universitātes slimnīcas </t>
  </si>
  <si>
    <t>141.55</t>
  </si>
  <si>
    <t xml:space="preserve">Reģionālās slimnīcas </t>
  </si>
  <si>
    <t>128.71</t>
  </si>
  <si>
    <t>Lokālās slimnīcas</t>
  </si>
  <si>
    <t>97.44</t>
  </si>
  <si>
    <t>Traumatoloģijas un ortopēdijas slimnīca</t>
  </si>
  <si>
    <t>124.5</t>
  </si>
  <si>
    <t>Rīgas 2. slimnīca</t>
  </si>
  <si>
    <t>Nacionālais rehabilitācijas centrs, Vaivari</t>
  </si>
  <si>
    <t>106.23</t>
  </si>
  <si>
    <t>Rīgas Dzemdību nams</t>
  </si>
  <si>
    <t>116.04</t>
  </si>
  <si>
    <t>Specializētās slimnīcas   psihiatrijā un narkoloģijā</t>
  </si>
  <si>
    <t>88.84</t>
  </si>
  <si>
    <t>Aprūpes slimnīcas</t>
  </si>
  <si>
    <t>55.2</t>
  </si>
  <si>
    <t>69.31</t>
  </si>
  <si>
    <t xml:space="preserve">Hronisko pacientu aprūpe no 15. ārstēšanās dienas </t>
  </si>
  <si>
    <t>82.29</t>
  </si>
  <si>
    <t>Vienas gultasdienas tarifs pacienta aprūpei, kuram nepieciešama ilgstoša mākslīgā plaušu ventilācija</t>
  </si>
  <si>
    <t>62.85</t>
  </si>
  <si>
    <t>Vienas gultasdienas tarifs zāļu rezistenta tuberkulozes pacienta paliatīvā aprūpei</t>
  </si>
  <si>
    <t>P15 Pediatrs</t>
  </si>
  <si>
    <t xml:space="preserve">P01 Internists
</t>
  </si>
  <si>
    <t>P13 Traumatologs, ortopēds</t>
  </si>
  <si>
    <t>Ārstniecības personu slodzes diennaktī</t>
  </si>
  <si>
    <t>Cilvēkresursa nodrošinājums</t>
  </si>
  <si>
    <t>Ārstniecības personu laiks (min) gadā</t>
  </si>
  <si>
    <t>Ārstniecības personu laiks (min.) 1 gd</t>
  </si>
  <si>
    <t>Darba samaksa mēnesī, EUR</t>
  </si>
  <si>
    <t>Netiešo izmaksu koeficienti</t>
  </si>
  <si>
    <t>euro</t>
  </si>
  <si>
    <t>Ārsta laiks (min)</t>
  </si>
  <si>
    <t>Ierīču  nolietojums</t>
  </si>
  <si>
    <t>Kopā</t>
  </si>
  <si>
    <t>n</t>
  </si>
  <si>
    <t>Posteņu, slodžu, darba stundu skaits un apmaksas nosacījumi NMPON darba nodrošināšanai</t>
  </si>
  <si>
    <t>Pirmdienās</t>
  </si>
  <si>
    <t>Otrdienās</t>
  </si>
  <si>
    <t>Trešdienās</t>
  </si>
  <si>
    <t>Ceturtdienās</t>
  </si>
  <si>
    <t>Piektdienās</t>
  </si>
  <si>
    <t>Sestdienās</t>
  </si>
  <si>
    <t>Svētdienās</t>
  </si>
  <si>
    <t>Svētku un brīvdienās</t>
  </si>
  <si>
    <t>Stundas vidēji gadā</t>
  </si>
  <si>
    <t>Posteņa nosaukums</t>
  </si>
  <si>
    <t>Nedēļas dienas</t>
  </si>
  <si>
    <t>Posteņa veids</t>
  </si>
  <si>
    <t>% iesaiste, ja atbalsta postenis</t>
  </si>
  <si>
    <t>Posteņu skaits</t>
  </si>
  <si>
    <t>no</t>
  </si>
  <si>
    <t>līdz</t>
  </si>
  <si>
    <t>darba st</t>
  </si>
  <si>
    <t>t.sk. nakts st</t>
  </si>
  <si>
    <t>Tehniskā</t>
  </si>
  <si>
    <t>Darba sundas</t>
  </si>
  <si>
    <t>no tām nakts</t>
  </si>
  <si>
    <t>no tām svētku</t>
  </si>
  <si>
    <t>slodzes</t>
  </si>
  <si>
    <t>Atvaļinājuma rezerve</t>
  </si>
  <si>
    <t>KOPĀ</t>
  </si>
  <si>
    <t>Slodzes pa amatiem, atbilstoši AVS</t>
  </si>
  <si>
    <t>Piezīmes</t>
  </si>
  <si>
    <t>DR komentāri</t>
  </si>
  <si>
    <t>Mēnešalga</t>
  </si>
  <si>
    <t>Stundas likme (vidējā)</t>
  </si>
  <si>
    <t>Samaksa gadā, EUR</t>
  </si>
  <si>
    <t>Par Nakts stundām, EUR gadā</t>
  </si>
  <si>
    <t>Par Svētku stundām, EUR gadā</t>
  </si>
  <si>
    <t>Īpašā riska piemaksa gadā, EUR</t>
  </si>
  <si>
    <t>Vidējā mēneša alga ar piemaksām</t>
  </si>
  <si>
    <t>Vidējā minūtes vērtība</t>
  </si>
  <si>
    <t>ĀRSTS</t>
  </si>
  <si>
    <t>Diena</t>
  </si>
  <si>
    <t>Jāizlemj - vai liekam 24h tiešo posteni, vai 8h tiešais un pēc tam mājas dežūras</t>
  </si>
  <si>
    <t>Diena+nakts</t>
  </si>
  <si>
    <t>Diennakts</t>
  </si>
  <si>
    <t>MĀSA</t>
  </si>
  <si>
    <t>MĀSAS PALĪGI</t>
  </si>
  <si>
    <t>2023. gada darba dienu kalendārs</t>
  </si>
  <si>
    <t>Nedēļas diena    /     Mēnesis</t>
  </si>
  <si>
    <t>P</t>
  </si>
  <si>
    <t>O</t>
  </si>
  <si>
    <t>T</t>
  </si>
  <si>
    <t>C</t>
  </si>
  <si>
    <t>Sv</t>
  </si>
  <si>
    <t>KOPĀ dienas</t>
  </si>
  <si>
    <t>Darba dienas</t>
  </si>
  <si>
    <t>Darba stundas</t>
  </si>
  <si>
    <t>Svētku dienas</t>
  </si>
  <si>
    <t>Pārceltā brīvdiena</t>
  </si>
  <si>
    <t>Janvāris</t>
  </si>
  <si>
    <t>Februāris</t>
  </si>
  <si>
    <t>Marts</t>
  </si>
  <si>
    <t>Aprīlis</t>
  </si>
  <si>
    <t>Maijs</t>
  </si>
  <si>
    <t>Jūnijs</t>
  </si>
  <si>
    <t>Jūlijs</t>
  </si>
  <si>
    <t>Augusts</t>
  </si>
  <si>
    <t>Septembris</t>
  </si>
  <si>
    <t>Oktobris</t>
  </si>
  <si>
    <t>Novembris</t>
  </si>
  <si>
    <t>Decembris</t>
  </si>
  <si>
    <t>Dienu skaits kopā</t>
  </si>
  <si>
    <t>Darba dienu skaits</t>
  </si>
  <si>
    <t>Sestdienu skaits</t>
  </si>
  <si>
    <t>Svētdienu skaits</t>
  </si>
  <si>
    <t>Pārceltās brīvdienas</t>
  </si>
  <si>
    <t>ĶIRURĢIJA</t>
  </si>
  <si>
    <t>Gultu skaits uz vienu ārstniecības personu</t>
  </si>
  <si>
    <t>Ārsti - P03 Ķirurgs</t>
  </si>
  <si>
    <t>16.00-8.00</t>
  </si>
  <si>
    <t>dežūrārsti</t>
  </si>
  <si>
    <t>Gd skaits gadā ar 75% noslogotību</t>
  </si>
  <si>
    <t>Ārsti (8.00-16.00)</t>
  </si>
  <si>
    <t>Vienas minūtes vērtība (laboratorija), EUR</t>
  </si>
  <si>
    <t>Vienas minūtes vērtība ar atvaļinājuma rezervi, svētku dienām un riska piemaksu, EUR</t>
  </si>
  <si>
    <t>ĶIRURĢIJA PIEAUGUŠAJIEM  - P03</t>
  </si>
  <si>
    <t>Papildus speciālists (1/2) internists</t>
  </si>
  <si>
    <t>LABORATORIJA</t>
  </si>
  <si>
    <t>RTG, USG, EKG</t>
  </si>
  <si>
    <t>KOPĀ GD, EUR</t>
  </si>
  <si>
    <t>GINEKOLOĢIJA</t>
  </si>
  <si>
    <t>P14 Ginekologs, dzemdību speciālists</t>
  </si>
  <si>
    <t>GINEKOLOĢIJA	 - P14</t>
  </si>
  <si>
    <t>Papildus speciālists (1/2)</t>
  </si>
  <si>
    <t>GRŪTNIEČU PATOLOĢIJA</t>
  </si>
  <si>
    <t>Grūtniecības patoloģija</t>
  </si>
  <si>
    <t>GRŪTNIEČU PATOLOĢIJA - P14</t>
  </si>
  <si>
    <t>DZEMDĪBU APRŪPE</t>
  </si>
  <si>
    <t>DZEMDĪBU APRŪPE - P14</t>
  </si>
  <si>
    <t>PEDIATRIJA</t>
  </si>
  <si>
    <t>PEDIATRIJA  - P15</t>
  </si>
  <si>
    <t xml:space="preserve">Papildus speciālists </t>
  </si>
  <si>
    <t>TERAPIJA</t>
  </si>
  <si>
    <t>TERAPIJA - P01</t>
  </si>
  <si>
    <t>TRAUMATOLOĢIJA</t>
  </si>
  <si>
    <t>Traumatoloģija, ortopēdija</t>
  </si>
  <si>
    <t>TRAUMATOLOĢIJA - P13</t>
  </si>
  <si>
    <t>Papildus izmeklējumi (USG, RTG, EKG)</t>
  </si>
  <si>
    <t>Māsa/ ārsta palīgs / vecmāte</t>
  </si>
  <si>
    <t>Māsas palīgs</t>
  </si>
  <si>
    <t>Darba samaksa mēnesī pēc MK555, EUR</t>
  </si>
  <si>
    <t>Vienas minūtes vērtība (aprēķinā tikai laboratorijai), EUR</t>
  </si>
  <si>
    <t>16.00-8.00 (no tā 8h nakts darbs un brīvdienas)</t>
  </si>
  <si>
    <t>Ārstniecības un pacientu aprūpes atbalsta personas (diena) (MĀSAS PALĪGI)</t>
  </si>
  <si>
    <t>Ārstniecības un pacientu aprūpes personas (diena) (MĀSAS)</t>
  </si>
  <si>
    <t>Ārstniecības un pacientu aprūpes personas (16.00-8.00) MĀSAS</t>
  </si>
  <si>
    <t>Ārstniecības un pacientu aprūpes atbalsta persona MĀSU PALĪGI</t>
  </si>
  <si>
    <t>Ārstniecības un pacientu aprūpes personu laiks (min) MĀSAS</t>
  </si>
  <si>
    <t>Ārstniecības un pacientu aprūpes personu laiks (min) MĀSU PALĪGI</t>
  </si>
  <si>
    <t>Ārstniecības un pacientu aprūpes personas (diena) (MĀSAS / VECMĀTES)</t>
  </si>
  <si>
    <t>Ārstniecības un pacientu aprūpes personu laiks (min) MĀSAS / VECMĀTES</t>
  </si>
  <si>
    <t>Ārstniecības un pacientu aprūpes personas (diena)</t>
  </si>
  <si>
    <t>Ārstniecības un pacientu aprūpes atbalsta personas (diena)</t>
  </si>
  <si>
    <t>Ārstniecības un pacientu aprūpes personas (16.00-8.00)</t>
  </si>
  <si>
    <t>Ārstniecības un pacientu aprūpes atbalsta personas v</t>
  </si>
  <si>
    <t>Ārstniecības un pacientu aprūpes personu laiks (min)</t>
  </si>
  <si>
    <t>SPECIALIZĒTĀ PEDIATRIJA (BKUS)</t>
  </si>
  <si>
    <t>Profilu tarifs (jaunais, no 01.04.24)</t>
  </si>
  <si>
    <t>Slimnīcu profilu tarifs (šobrīd spēkā esošais līdz 31.03.2024.)</t>
  </si>
  <si>
    <t>Gultas dienu tarifs, atbilstoši pārskatītajiem pakalpojumu profiliem</t>
  </si>
  <si>
    <t>6.1. pielikums</t>
  </si>
  <si>
    <t>6.2. pielikums</t>
  </si>
  <si>
    <t>6.3. pielikums</t>
  </si>
  <si>
    <t>6.4. pielikums</t>
  </si>
  <si>
    <t>6.5. pielikums</t>
  </si>
  <si>
    <t>6.6. pielikums</t>
  </si>
  <si>
    <t>6.7. pielikums</t>
  </si>
  <si>
    <t>6.8. pielikums</t>
  </si>
  <si>
    <t>6.9. pielikums</t>
  </si>
  <si>
    <r>
      <t>153.1. ārstiem un funkcionālajiem speciālistiem – 1 963,00 </t>
    </r>
    <r>
      <rPr>
        <i/>
        <sz val="8"/>
        <rFont val="Arial"/>
        <family val="2"/>
        <charset val="186"/>
      </rPr>
      <t>euro</t>
    </r>
    <r>
      <rPr>
        <sz val="8"/>
        <rFont val="Arial"/>
        <family val="2"/>
        <charset val="186"/>
      </rPr>
      <t>;</t>
    </r>
  </si>
  <si>
    <r>
      <t>153.2. ārstniecības un pacientu aprūpes personām un funkcionālo speciālistu asistentiem – 1 183,00 </t>
    </r>
    <r>
      <rPr>
        <i/>
        <sz val="8"/>
        <rFont val="Arial"/>
        <family val="2"/>
        <charset val="186"/>
      </rPr>
      <t>euro</t>
    </r>
    <r>
      <rPr>
        <sz val="8"/>
        <rFont val="Arial"/>
        <family val="2"/>
        <charset val="186"/>
      </rPr>
      <t>;</t>
    </r>
  </si>
  <si>
    <r>
      <t>153.3. ārstniecības un pacientu aprūpes atbalsta personām – 745,00 </t>
    </r>
    <r>
      <rPr>
        <i/>
        <sz val="8"/>
        <rFont val="Arial"/>
        <family val="2"/>
        <charset val="186"/>
      </rPr>
      <t>euro</t>
    </r>
    <r>
      <rPr>
        <sz val="8"/>
        <rFont val="Arial"/>
        <family val="2"/>
        <charset val="186"/>
      </rPr>
      <t>.</t>
    </r>
  </si>
  <si>
    <t>6.pielikums Informatīvajam ziņojumam par izmaiņām slimnīcu tīklā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</si>
</sst>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_-;\-* #,##0_-;_-* &quot;-&quot;??_-;_-@_-"/>
    <numFmt numFmtId="165" formatCode="0.0000"/>
    <numFmt numFmtId="166" formatCode="0.00000"/>
    <numFmt numFmtId="167" formatCode="#,##0.00_ ;\-#,##0.00\ "/>
    <numFmt numFmtId="168" formatCode="_-* #,##0.0_-;\-* #,##0.0_-;_-* &quot;-&quot;??_-;_-@_-"/>
  </numFmts>
  <fonts count="37" x14ac:knownFonts="1">
    <font>
      <sz val="11"/>
      <color theme="1"/>
      <name val="Calibri"/>
      <family val="2"/>
      <charset val="186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i/>
      <sz val="10"/>
      <name val="Times New Roman"/>
      <family val="1"/>
      <charset val="186"/>
    </font>
    <font>
      <sz val="12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2"/>
      <color rgb="FF000000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1"/>
    </font>
    <font>
      <sz val="8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Times New Roman"/>
      <family val="1"/>
    </font>
    <font>
      <i/>
      <sz val="10"/>
      <name val="Times New Roman"/>
      <family val="1"/>
    </font>
    <font>
      <sz val="14"/>
      <name val="Times New Roman"/>
      <family val="1"/>
      <charset val="186"/>
    </font>
    <font>
      <b/>
      <sz val="18"/>
      <name val="Times New Roman"/>
      <family val="1"/>
      <charset val="186"/>
    </font>
    <font>
      <sz val="8"/>
      <name val="Arial"/>
      <family val="2"/>
      <charset val="186"/>
    </font>
    <font>
      <i/>
      <sz val="8"/>
      <name val="Arial"/>
      <family val="2"/>
      <charset val="186"/>
    </font>
    <font>
      <b/>
      <sz val="14"/>
      <name val="Times New Roman"/>
      <family val="1"/>
      <charset val="186"/>
    </font>
    <font>
      <b/>
      <sz val="24"/>
      <name val="Calibri"/>
      <family val="2"/>
      <charset val="186"/>
    </font>
    <font>
      <b/>
      <sz val="16"/>
      <name val="Times New Roman"/>
      <family val="1"/>
      <charset val="186"/>
    </font>
    <font>
      <b/>
      <sz val="11"/>
      <name val="Calibri"/>
      <family val="2"/>
      <charset val="186"/>
    </font>
    <font>
      <b/>
      <sz val="14"/>
      <name val="Calibri"/>
      <family val="2"/>
      <charset val="186"/>
    </font>
    <font>
      <b/>
      <sz val="13.5"/>
      <name val="Calibri"/>
      <family val="2"/>
      <charset val="186"/>
    </font>
    <font>
      <sz val="11"/>
      <name val="Calibri"/>
      <family val="2"/>
      <charset val="186"/>
      <scheme val="minor"/>
    </font>
    <font>
      <b/>
      <sz val="12"/>
      <name val="Calibri"/>
      <family val="2"/>
      <charset val="186"/>
    </font>
    <font>
      <sz val="16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92D050"/>
        <bgColor rgb="FF969696"/>
      </patternFill>
    </fill>
    <fill>
      <patternFill patternType="solid">
        <fgColor rgb="FFFFC000"/>
        <bgColor rgb="FFFF9900"/>
      </patternFill>
    </fill>
    <fill>
      <patternFill patternType="solid">
        <fgColor rgb="FFCCC1DA"/>
        <bgColor rgb="FFE6B9B8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rgb="FFFF9900"/>
      </patternFill>
    </fill>
    <fill>
      <patternFill patternType="solid">
        <fgColor rgb="FFFFFF00"/>
        <bgColor rgb="FF00CCFF"/>
      </patternFill>
    </fill>
    <fill>
      <patternFill patternType="solid">
        <fgColor rgb="FFFFFF00"/>
        <bgColor rgb="FFCCC1DA"/>
      </patternFill>
    </fill>
    <fill>
      <patternFill patternType="solid">
        <fgColor rgb="FFFFCCFF"/>
        <bgColor indexed="64"/>
      </patternFill>
    </fill>
    <fill>
      <patternFill patternType="solid">
        <fgColor rgb="FFD9D9D9"/>
        <bgColor rgb="FFDBEEF4"/>
      </patternFill>
    </fill>
    <fill>
      <patternFill patternType="solid">
        <fgColor rgb="FFFF0000"/>
        <bgColor rgb="FFFF3300"/>
      </patternFill>
    </fill>
    <fill>
      <patternFill patternType="solid">
        <fgColor rgb="FFFF0000"/>
        <bgColor indexed="64"/>
      </patternFill>
    </fill>
    <fill>
      <patternFill patternType="solid">
        <fgColor rgb="FFDBEEF4"/>
        <bgColor rgb="FFCCFFFF"/>
      </patternFill>
    </fill>
    <fill>
      <patternFill patternType="solid">
        <fgColor rgb="FFFFFF00"/>
        <bgColor rgb="FF000000"/>
      </patternFill>
    </fill>
    <fill>
      <patternFill patternType="solid">
        <fgColor rgb="FFF4B084"/>
        <bgColor rgb="FF000000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5" fillId="0" borderId="0"/>
    <xf numFmtId="43" fontId="9" fillId="0" borderId="0" applyFont="0" applyFill="0" applyBorder="0" applyAlignment="0" applyProtection="0"/>
    <xf numFmtId="0" fontId="9" fillId="0" borderId="0"/>
    <xf numFmtId="0" fontId="4" fillId="0" borderId="0"/>
  </cellStyleXfs>
  <cellXfs count="343">
    <xf numFmtId="0" fontId="0" fillId="0" borderId="0" xfId="0"/>
    <xf numFmtId="0" fontId="5" fillId="0" borderId="0" xfId="0" applyFont="1"/>
    <xf numFmtId="0" fontId="5" fillId="0" borderId="9" xfId="0" applyFont="1" applyBorder="1" applyAlignment="1">
      <alignment horizontal="center" wrapText="1"/>
    </xf>
    <xf numFmtId="0" fontId="7" fillId="0" borderId="0" xfId="1" applyFont="1" applyAlignment="1">
      <alignment horizontal="left"/>
    </xf>
    <xf numFmtId="9" fontId="5" fillId="0" borderId="0" xfId="0" applyNumberFormat="1" applyFont="1"/>
    <xf numFmtId="164" fontId="5" fillId="0" borderId="0" xfId="0" applyNumberFormat="1" applyFont="1"/>
    <xf numFmtId="43" fontId="6" fillId="0" borderId="0" xfId="0" applyNumberFormat="1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164" fontId="6" fillId="0" borderId="0" xfId="0" applyNumberFormat="1" applyFont="1"/>
    <xf numFmtId="2" fontId="5" fillId="0" borderId="0" xfId="0" applyNumberFormat="1" applyFont="1"/>
    <xf numFmtId="0" fontId="6" fillId="0" borderId="0" xfId="0" applyFont="1"/>
    <xf numFmtId="165" fontId="6" fillId="0" borderId="0" xfId="0" applyNumberFormat="1" applyFont="1"/>
    <xf numFmtId="166" fontId="5" fillId="0" borderId="0" xfId="0" applyNumberFormat="1" applyFont="1"/>
    <xf numFmtId="1" fontId="10" fillId="5" borderId="9" xfId="3" applyNumberFormat="1" applyFont="1" applyFill="1" applyBorder="1" applyAlignment="1">
      <alignment horizontal="center"/>
    </xf>
    <xf numFmtId="0" fontId="6" fillId="0" borderId="9" xfId="0" applyFont="1" applyBorder="1"/>
    <xf numFmtId="0" fontId="11" fillId="0" borderId="0" xfId="0" applyFont="1" applyAlignment="1">
      <alignment horizontal="right"/>
    </xf>
    <xf numFmtId="0" fontId="5" fillId="0" borderId="14" xfId="0" applyFont="1" applyBorder="1" applyAlignment="1">
      <alignment horizontal="center"/>
    </xf>
    <xf numFmtId="9" fontId="5" fillId="0" borderId="0" xfId="0" applyNumberFormat="1" applyFont="1" applyAlignment="1">
      <alignment horizontal="center"/>
    </xf>
    <xf numFmtId="0" fontId="8" fillId="4" borderId="9" xfId="0" applyFont="1" applyFill="1" applyBorder="1"/>
    <xf numFmtId="164" fontId="11" fillId="4" borderId="9" xfId="0" applyNumberFormat="1" applyFont="1" applyFill="1" applyBorder="1" applyAlignment="1">
      <alignment horizontal="center"/>
    </xf>
    <xf numFmtId="2" fontId="3" fillId="4" borderId="9" xfId="0" applyNumberFormat="1" applyFont="1" applyFill="1" applyBorder="1"/>
    <xf numFmtId="2" fontId="5" fillId="4" borderId="9" xfId="0" applyNumberFormat="1" applyFont="1" applyFill="1" applyBorder="1"/>
    <xf numFmtId="0" fontId="5" fillId="4" borderId="9" xfId="0" applyFont="1" applyFill="1" applyBorder="1"/>
    <xf numFmtId="0" fontId="3" fillId="4" borderId="9" xfId="0" applyFont="1" applyFill="1" applyBorder="1" applyAlignment="1">
      <alignment horizontal="right"/>
    </xf>
    <xf numFmtId="2" fontId="3" fillId="4" borderId="14" xfId="0" applyNumberFormat="1" applyFont="1" applyFill="1" applyBorder="1" applyAlignment="1">
      <alignment horizontal="right"/>
    </xf>
    <xf numFmtId="2" fontId="10" fillId="4" borderId="9" xfId="0" applyNumberFormat="1" applyFont="1" applyFill="1" applyBorder="1"/>
    <xf numFmtId="0" fontId="12" fillId="0" borderId="0" xfId="0" applyFont="1"/>
    <xf numFmtId="0" fontId="8" fillId="4" borderId="15" xfId="0" applyFont="1" applyFill="1" applyBorder="1" applyAlignment="1">
      <alignment horizontal="center"/>
    </xf>
    <xf numFmtId="168" fontId="6" fillId="0" borderId="0" xfId="0" applyNumberFormat="1" applyFont="1"/>
    <xf numFmtId="0" fontId="14" fillId="0" borderId="0" xfId="0" applyFont="1"/>
    <xf numFmtId="0" fontId="14" fillId="0" borderId="0" xfId="0" applyFont="1" applyAlignment="1">
      <alignment horizontal="center" vertical="center"/>
    </xf>
    <xf numFmtId="0" fontId="15" fillId="4" borderId="0" xfId="0" applyFont="1" applyFill="1"/>
    <xf numFmtId="0" fontId="15" fillId="19" borderId="0" xfId="0" applyFont="1" applyFill="1"/>
    <xf numFmtId="165" fontId="6" fillId="0" borderId="10" xfId="0" applyNumberFormat="1" applyFont="1" applyBorder="1"/>
    <xf numFmtId="0" fontId="5" fillId="2" borderId="9" xfId="0" applyFont="1" applyFill="1" applyBorder="1" applyAlignment="1">
      <alignment horizontal="center" wrapText="1"/>
    </xf>
    <xf numFmtId="0" fontId="5" fillId="2" borderId="11" xfId="0" applyFont="1" applyFill="1" applyBorder="1" applyAlignment="1">
      <alignment horizontal="center" wrapText="1"/>
    </xf>
    <xf numFmtId="164" fontId="5" fillId="2" borderId="9" xfId="2" applyNumberFormat="1" applyFont="1" applyFill="1" applyBorder="1"/>
    <xf numFmtId="164" fontId="5" fillId="2" borderId="9" xfId="2" applyNumberFormat="1" applyFont="1" applyFill="1" applyBorder="1" applyAlignment="1">
      <alignment horizontal="center"/>
    </xf>
    <xf numFmtId="164" fontId="6" fillId="2" borderId="11" xfId="2" applyNumberFormat="1" applyFont="1" applyFill="1" applyBorder="1" applyAlignment="1">
      <alignment horizontal="center"/>
    </xf>
    <xf numFmtId="165" fontId="6" fillId="0" borderId="15" xfId="0" applyNumberFormat="1" applyFont="1" applyBorder="1"/>
    <xf numFmtId="0" fontId="5" fillId="0" borderId="18" xfId="0" applyFont="1" applyBorder="1" applyAlignment="1">
      <alignment wrapText="1"/>
    </xf>
    <xf numFmtId="0" fontId="6" fillId="4" borderId="15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8" fillId="24" borderId="15" xfId="0" applyFont="1" applyFill="1" applyBorder="1"/>
    <xf numFmtId="0" fontId="0" fillId="0" borderId="0" xfId="0" applyAlignment="1">
      <alignment wrapText="1"/>
    </xf>
    <xf numFmtId="2" fontId="16" fillId="4" borderId="9" xfId="0" applyNumberFormat="1" applyFont="1" applyFill="1" applyBorder="1"/>
    <xf numFmtId="0" fontId="17" fillId="25" borderId="9" xfId="0" applyFont="1" applyFill="1" applyBorder="1" applyAlignment="1">
      <alignment wrapText="1"/>
    </xf>
    <xf numFmtId="0" fontId="17" fillId="25" borderId="13" xfId="0" applyFont="1" applyFill="1" applyBorder="1" applyAlignment="1">
      <alignment wrapText="1"/>
    </xf>
    <xf numFmtId="0" fontId="2" fillId="0" borderId="9" xfId="1" applyFont="1" applyBorder="1" applyAlignment="1">
      <alignment horizontal="center" vertical="center"/>
    </xf>
    <xf numFmtId="2" fontId="2" fillId="0" borderId="9" xfId="1" applyNumberFormat="1" applyFont="1" applyBorder="1" applyAlignment="1">
      <alignment horizontal="center" vertical="center"/>
    </xf>
    <xf numFmtId="0" fontId="16" fillId="0" borderId="0" xfId="0" applyFont="1"/>
    <xf numFmtId="0" fontId="1" fillId="0" borderId="0" xfId="0" applyFont="1"/>
    <xf numFmtId="0" fontId="17" fillId="0" borderId="0" xfId="0" applyFont="1"/>
    <xf numFmtId="0" fontId="18" fillId="0" borderId="0" xfId="0" applyFont="1"/>
    <xf numFmtId="0" fontId="2" fillId="0" borderId="0" xfId="0" applyFont="1"/>
    <xf numFmtId="0" fontId="17" fillId="25" borderId="14" xfId="0" applyFont="1" applyFill="1" applyBorder="1" applyAlignment="1">
      <alignment wrapText="1"/>
    </xf>
    <xf numFmtId="0" fontId="2" fillId="0" borderId="11" xfId="1" applyFont="1" applyBorder="1" applyAlignment="1">
      <alignment horizontal="center" vertical="center"/>
    </xf>
    <xf numFmtId="2" fontId="2" fillId="0" borderId="11" xfId="1" applyNumberFormat="1" applyFont="1" applyBorder="1" applyAlignment="1">
      <alignment horizontal="center" vertical="center"/>
    </xf>
    <xf numFmtId="0" fontId="19" fillId="25" borderId="1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6" fillId="0" borderId="0" xfId="0" applyFont="1" applyAlignment="1">
      <alignment wrapText="1"/>
    </xf>
    <xf numFmtId="0" fontId="17" fillId="25" borderId="10" xfId="0" applyFont="1" applyFill="1" applyBorder="1" applyAlignment="1">
      <alignment horizontal="center" vertical="center" wrapText="1"/>
    </xf>
    <xf numFmtId="0" fontId="17" fillId="25" borderId="25" xfId="0" applyFont="1" applyFill="1" applyBorder="1" applyAlignment="1">
      <alignment horizontal="center" vertical="center" wrapText="1"/>
    </xf>
    <xf numFmtId="0" fontId="19" fillId="25" borderId="25" xfId="0" applyFont="1" applyFill="1" applyBorder="1" applyAlignment="1">
      <alignment horizontal="center" vertical="center" wrapText="1"/>
    </xf>
    <xf numFmtId="0" fontId="0" fillId="0" borderId="9" xfId="0" applyBorder="1"/>
    <xf numFmtId="2" fontId="13" fillId="0" borderId="9" xfId="0" applyNumberFormat="1" applyFont="1" applyBorder="1"/>
    <xf numFmtId="2" fontId="0" fillId="0" borderId="9" xfId="0" applyNumberFormat="1" applyBorder="1"/>
    <xf numFmtId="0" fontId="20" fillId="0" borderId="0" xfId="0" applyFont="1"/>
    <xf numFmtId="0" fontId="2" fillId="0" borderId="9" xfId="0" applyFont="1" applyBorder="1" applyAlignment="1">
      <alignment horizontal="center" wrapText="1"/>
    </xf>
    <xf numFmtId="0" fontId="22" fillId="4" borderId="10" xfId="0" applyFont="1" applyFill="1" applyBorder="1" applyAlignment="1">
      <alignment horizontal="center"/>
    </xf>
    <xf numFmtId="9" fontId="2" fillId="0" borderId="0" xfId="0" applyNumberFormat="1" applyFont="1"/>
    <xf numFmtId="0" fontId="1" fillId="4" borderId="15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7" fillId="0" borderId="0" xfId="1" applyFont="1" applyAlignment="1">
      <alignment horizontal="left"/>
    </xf>
    <xf numFmtId="43" fontId="17" fillId="0" borderId="0" xfId="2" applyFont="1" applyBorder="1" applyAlignment="1">
      <alignment horizontal="left" wrapText="1"/>
    </xf>
    <xf numFmtId="164" fontId="2" fillId="0" borderId="0" xfId="0" applyNumberFormat="1" applyFont="1"/>
    <xf numFmtId="43" fontId="1" fillId="0" borderId="0" xfId="0" applyNumberFormat="1" applyFont="1"/>
    <xf numFmtId="0" fontId="2" fillId="0" borderId="0" xfId="0" applyFont="1" applyAlignment="1">
      <alignment horizontal="center"/>
    </xf>
    <xf numFmtId="0" fontId="2" fillId="2" borderId="9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7" fillId="0" borderId="9" xfId="1" applyFont="1" applyBorder="1" applyAlignment="1">
      <alignment horizontal="left" wrapText="1"/>
    </xf>
    <xf numFmtId="43" fontId="17" fillId="0" borderId="9" xfId="2" applyFont="1" applyFill="1" applyBorder="1" applyAlignment="1">
      <alignment horizontal="left" wrapText="1"/>
    </xf>
    <xf numFmtId="164" fontId="17" fillId="0" borderId="9" xfId="2" applyNumberFormat="1" applyFont="1" applyFill="1" applyBorder="1" applyAlignment="1">
      <alignment wrapText="1"/>
    </xf>
    <xf numFmtId="164" fontId="2" fillId="2" borderId="9" xfId="2" applyNumberFormat="1" applyFont="1" applyFill="1" applyBorder="1"/>
    <xf numFmtId="164" fontId="2" fillId="2" borderId="9" xfId="2" applyNumberFormat="1" applyFont="1" applyFill="1" applyBorder="1" applyAlignment="1">
      <alignment horizontal="center"/>
    </xf>
    <xf numFmtId="164" fontId="1" fillId="2" borderId="9" xfId="2" applyNumberFormat="1" applyFont="1" applyFill="1" applyBorder="1" applyAlignment="1">
      <alignment horizontal="center"/>
    </xf>
    <xf numFmtId="168" fontId="1" fillId="0" borderId="0" xfId="0" applyNumberFormat="1" applyFont="1"/>
    <xf numFmtId="164" fontId="1" fillId="0" borderId="0" xfId="0" applyNumberFormat="1" applyFont="1"/>
    <xf numFmtId="164" fontId="17" fillId="0" borderId="9" xfId="1" applyNumberFormat="1" applyFont="1" applyBorder="1"/>
    <xf numFmtId="0" fontId="17" fillId="0" borderId="0" xfId="1" applyFont="1" applyAlignment="1">
      <alignment horizontal="left" wrapText="1"/>
    </xf>
    <xf numFmtId="0" fontId="17" fillId="0" borderId="0" xfId="2" applyNumberFormat="1" applyFont="1" applyFill="1" applyBorder="1" applyAlignment="1">
      <alignment horizontal="left" wrapText="1"/>
    </xf>
    <xf numFmtId="0" fontId="17" fillId="0" borderId="0" xfId="1" applyFont="1" applyAlignment="1">
      <alignment horizontal="center"/>
    </xf>
    <xf numFmtId="165" fontId="1" fillId="0" borderId="0" xfId="0" applyNumberFormat="1" applyFont="1"/>
    <xf numFmtId="166" fontId="2" fillId="0" borderId="0" xfId="0" applyNumberFormat="1" applyFont="1"/>
    <xf numFmtId="1" fontId="16" fillId="5" borderId="9" xfId="3" applyNumberFormat="1" applyFont="1" applyFill="1" applyBorder="1" applyAlignment="1">
      <alignment horizontal="center"/>
    </xf>
    <xf numFmtId="0" fontId="17" fillId="0" borderId="10" xfId="1" applyFont="1" applyBorder="1" applyAlignment="1">
      <alignment horizontal="left" wrapText="1"/>
    </xf>
    <xf numFmtId="165" fontId="1" fillId="0" borderId="10" xfId="0" applyNumberFormat="1" applyFont="1" applyBorder="1"/>
    <xf numFmtId="0" fontId="17" fillId="0" borderId="15" xfId="1" applyFont="1" applyBorder="1" applyAlignment="1">
      <alignment horizontal="left" wrapText="1"/>
    </xf>
    <xf numFmtId="165" fontId="1" fillId="0" borderId="15" xfId="0" applyNumberFormat="1" applyFont="1" applyBorder="1"/>
    <xf numFmtId="0" fontId="2" fillId="0" borderId="18" xfId="0" applyFont="1" applyBorder="1" applyAlignment="1">
      <alignment wrapText="1"/>
    </xf>
    <xf numFmtId="0" fontId="1" fillId="6" borderId="18" xfId="0" applyFont="1" applyFill="1" applyBorder="1" applyAlignment="1">
      <alignment horizontal="center" vertical="center"/>
    </xf>
    <xf numFmtId="0" fontId="1" fillId="0" borderId="9" xfId="0" applyFont="1" applyBorder="1"/>
    <xf numFmtId="0" fontId="17" fillId="3" borderId="9" xfId="4" applyFont="1" applyFill="1" applyBorder="1" applyAlignment="1">
      <alignment horizontal="center" vertical="center" wrapText="1"/>
    </xf>
    <xf numFmtId="0" fontId="23" fillId="0" borderId="0" xfId="0" applyFont="1" applyAlignment="1">
      <alignment horizontal="right"/>
    </xf>
    <xf numFmtId="0" fontId="2" fillId="0" borderId="14" xfId="0" applyFont="1" applyBorder="1" applyAlignment="1">
      <alignment horizontal="center"/>
    </xf>
    <xf numFmtId="43" fontId="17" fillId="0" borderId="0" xfId="1" applyNumberFormat="1" applyFont="1" applyAlignment="1">
      <alignment horizontal="left"/>
    </xf>
    <xf numFmtId="43" fontId="17" fillId="0" borderId="0" xfId="1" applyNumberFormat="1" applyFont="1" applyAlignment="1">
      <alignment horizontal="center"/>
    </xf>
    <xf numFmtId="0" fontId="22" fillId="4" borderId="9" xfId="0" applyFont="1" applyFill="1" applyBorder="1"/>
    <xf numFmtId="164" fontId="23" fillId="4" borderId="9" xfId="0" applyNumberFormat="1" applyFont="1" applyFill="1" applyBorder="1" applyAlignment="1">
      <alignment horizontal="center"/>
    </xf>
    <xf numFmtId="2" fontId="17" fillId="4" borderId="9" xfId="0" applyNumberFormat="1" applyFont="1" applyFill="1" applyBorder="1"/>
    <xf numFmtId="2" fontId="2" fillId="4" borderId="9" xfId="0" applyNumberFormat="1" applyFont="1" applyFill="1" applyBorder="1"/>
    <xf numFmtId="0" fontId="2" fillId="4" borderId="9" xfId="0" applyFont="1" applyFill="1" applyBorder="1"/>
    <xf numFmtId="0" fontId="17" fillId="4" borderId="9" xfId="0" applyFont="1" applyFill="1" applyBorder="1" applyAlignment="1">
      <alignment horizontal="right"/>
    </xf>
    <xf numFmtId="2" fontId="17" fillId="4" borderId="14" xfId="0" applyNumberFormat="1" applyFont="1" applyFill="1" applyBorder="1" applyAlignment="1">
      <alignment horizontal="right"/>
    </xf>
    <xf numFmtId="167" fontId="17" fillId="0" borderId="0" xfId="1" applyNumberFormat="1" applyFont="1" applyAlignment="1">
      <alignment horizontal="center"/>
    </xf>
    <xf numFmtId="0" fontId="16" fillId="0" borderId="21" xfId="1" applyFont="1" applyBorder="1" applyAlignment="1">
      <alignment horizontal="left" wrapText="1"/>
    </xf>
    <xf numFmtId="2" fontId="16" fillId="0" borderId="22" xfId="1" applyNumberFormat="1" applyFont="1" applyBorder="1" applyAlignment="1">
      <alignment horizontal="center"/>
    </xf>
    <xf numFmtId="0" fontId="22" fillId="4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 wrapText="1"/>
    </xf>
    <xf numFmtId="164" fontId="1" fillId="2" borderId="11" xfId="2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22" fillId="4" borderId="9" xfId="0" applyFont="1" applyFill="1" applyBorder="1" applyAlignment="1">
      <alignment horizontal="center" vertical="center"/>
    </xf>
    <xf numFmtId="0" fontId="17" fillId="0" borderId="9" xfId="1" applyFont="1" applyBorder="1" applyAlignment="1">
      <alignment horizontal="left"/>
    </xf>
    <xf numFmtId="164" fontId="17" fillId="0" borderId="9" xfId="2" applyNumberFormat="1" applyFont="1" applyFill="1" applyBorder="1" applyAlignment="1">
      <alignment horizontal="center" wrapText="1"/>
    </xf>
    <xf numFmtId="164" fontId="17" fillId="0" borderId="9" xfId="1" applyNumberFormat="1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2" fontId="16" fillId="0" borderId="22" xfId="1" applyNumberFormat="1" applyFont="1" applyBorder="1" applyAlignment="1">
      <alignment horizontal="center" vertical="center"/>
    </xf>
    <xf numFmtId="2" fontId="17" fillId="0" borderId="0" xfId="1" applyNumberFormat="1" applyFont="1" applyAlignment="1">
      <alignment horizontal="left"/>
    </xf>
    <xf numFmtId="0" fontId="24" fillId="0" borderId="0" xfId="0" applyFont="1"/>
    <xf numFmtId="0" fontId="12" fillId="0" borderId="0" xfId="0" applyFont="1" applyAlignment="1">
      <alignment horizontal="center"/>
    </xf>
    <xf numFmtId="0" fontId="25" fillId="0" borderId="0" xfId="0" applyFont="1"/>
    <xf numFmtId="0" fontId="25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26" fillId="0" borderId="0" xfId="0" applyFont="1" applyAlignment="1">
      <alignment horizontal="justify" vertical="center" wrapText="1"/>
    </xf>
    <xf numFmtId="0" fontId="12" fillId="0" borderId="0" xfId="0" applyFont="1" applyAlignment="1">
      <alignment horizontal="center" vertical="center"/>
    </xf>
    <xf numFmtId="9" fontId="12" fillId="4" borderId="0" xfId="0" applyNumberFormat="1" applyFont="1" applyFill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4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 textRotation="90" wrapText="1"/>
    </xf>
    <xf numFmtId="0" fontId="12" fillId="7" borderId="3" xfId="0" applyFont="1" applyFill="1" applyBorder="1" applyAlignment="1">
      <alignment vertical="center"/>
    </xf>
    <xf numFmtId="0" fontId="12" fillId="7" borderId="1" xfId="0" applyFont="1" applyFill="1" applyBorder="1" applyAlignment="1">
      <alignment vertical="center"/>
    </xf>
    <xf numFmtId="0" fontId="12" fillId="8" borderId="1" xfId="0" applyFont="1" applyFill="1" applyBorder="1" applyAlignment="1">
      <alignment vertical="center"/>
    </xf>
    <xf numFmtId="0" fontId="12" fillId="9" borderId="1" xfId="0" applyFont="1" applyFill="1" applyBorder="1" applyAlignment="1">
      <alignment vertical="center"/>
    </xf>
    <xf numFmtId="0" fontId="12" fillId="9" borderId="2" xfId="0" applyFont="1" applyFill="1" applyBorder="1" applyAlignment="1">
      <alignment vertical="center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vertical="center"/>
    </xf>
    <xf numFmtId="0" fontId="8" fillId="0" borderId="2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0" fillId="10" borderId="9" xfId="0" applyFont="1" applyFill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11" borderId="26" xfId="0" applyFont="1" applyFill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28" fillId="11" borderId="10" xfId="0" applyFont="1" applyFill="1" applyBorder="1" applyAlignment="1">
      <alignment horizontal="center" vertical="center" wrapText="1"/>
    </xf>
    <xf numFmtId="0" fontId="8" fillId="11" borderId="10" xfId="0" applyFont="1" applyFill="1" applyBorder="1" applyAlignment="1">
      <alignment horizontal="center" vertical="center" wrapText="1"/>
    </xf>
    <xf numFmtId="0" fontId="10" fillId="10" borderId="11" xfId="0" applyFont="1" applyFill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0" fontId="8" fillId="4" borderId="30" xfId="0" applyFont="1" applyFill="1" applyBorder="1" applyAlignment="1">
      <alignment horizontal="left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12" fillId="4" borderId="9" xfId="0" applyFont="1" applyFill="1" applyBorder="1" applyAlignment="1">
      <alignment horizontal="left" vertical="center" wrapText="1"/>
    </xf>
    <xf numFmtId="0" fontId="3" fillId="4" borderId="9" xfId="0" applyFont="1" applyFill="1" applyBorder="1" applyAlignment="1">
      <alignment vertical="center" wrapText="1"/>
    </xf>
    <xf numFmtId="0" fontId="28" fillId="4" borderId="9" xfId="0" applyFont="1" applyFill="1" applyBorder="1" applyAlignment="1">
      <alignment horizontal="center" vertical="center" wrapText="1"/>
    </xf>
    <xf numFmtId="0" fontId="12" fillId="4" borderId="9" xfId="0" applyFont="1" applyFill="1" applyBorder="1" applyAlignment="1">
      <alignment horizontal="center" vertical="center"/>
    </xf>
    <xf numFmtId="0" fontId="8" fillId="16" borderId="9" xfId="0" applyFont="1" applyFill="1" applyBorder="1" applyAlignment="1">
      <alignment horizontal="center" vertical="center"/>
    </xf>
    <xf numFmtId="0" fontId="12" fillId="16" borderId="9" xfId="0" applyFont="1" applyFill="1" applyBorder="1" applyAlignment="1">
      <alignment horizontal="center" vertical="center"/>
    </xf>
    <xf numFmtId="1" fontId="8" fillId="13" borderId="9" xfId="0" applyNumberFormat="1" applyFont="1" applyFill="1" applyBorder="1" applyAlignment="1">
      <alignment horizontal="center" vertical="center"/>
    </xf>
    <xf numFmtId="1" fontId="8" fillId="17" borderId="9" xfId="0" applyNumberFormat="1" applyFont="1" applyFill="1" applyBorder="1" applyAlignment="1">
      <alignment horizontal="center" vertical="center"/>
    </xf>
    <xf numFmtId="1" fontId="8" fillId="18" borderId="9" xfId="0" applyNumberFormat="1" applyFont="1" applyFill="1" applyBorder="1" applyAlignment="1">
      <alignment horizontal="center" vertical="center"/>
    </xf>
    <xf numFmtId="4" fontId="12" fillId="4" borderId="9" xfId="0" applyNumberFormat="1" applyFont="1" applyFill="1" applyBorder="1" applyAlignment="1">
      <alignment horizontal="center" vertical="center"/>
    </xf>
    <xf numFmtId="4" fontId="28" fillId="4" borderId="9" xfId="0" applyNumberFormat="1" applyFont="1" applyFill="1" applyBorder="1" applyAlignment="1">
      <alignment horizontal="center" vertical="center"/>
    </xf>
    <xf numFmtId="4" fontId="8" fillId="4" borderId="9" xfId="0" applyNumberFormat="1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vertical="center" wrapText="1"/>
    </xf>
    <xf numFmtId="0" fontId="12" fillId="4" borderId="30" xfId="0" applyFont="1" applyFill="1" applyBorder="1" applyAlignment="1">
      <alignment horizontal="center"/>
    </xf>
    <xf numFmtId="0" fontId="12" fillId="4" borderId="31" xfId="0" applyFont="1" applyFill="1" applyBorder="1" applyAlignment="1">
      <alignment horizontal="center" vertical="center"/>
    </xf>
    <xf numFmtId="4" fontId="12" fillId="4" borderId="13" xfId="0" applyNumberFormat="1" applyFont="1" applyFill="1" applyBorder="1" applyAlignment="1">
      <alignment horizontal="center" vertical="center"/>
    </xf>
    <xf numFmtId="4" fontId="12" fillId="4" borderId="0" xfId="0" applyNumberFormat="1" applyFont="1" applyFill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2" fillId="4" borderId="0" xfId="0" applyFont="1" applyFill="1"/>
    <xf numFmtId="0" fontId="8" fillId="12" borderId="30" xfId="0" applyFont="1" applyFill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28" fillId="0" borderId="9" xfId="0" applyFont="1" applyBorder="1" applyAlignment="1">
      <alignment horizontal="center" vertical="center" wrapText="1"/>
    </xf>
    <xf numFmtId="0" fontId="8" fillId="8" borderId="9" xfId="0" applyFont="1" applyFill="1" applyBorder="1" applyAlignment="1">
      <alignment horizontal="center" vertical="center"/>
    </xf>
    <xf numFmtId="0" fontId="12" fillId="11" borderId="9" xfId="0" applyFont="1" applyFill="1" applyBorder="1" applyAlignment="1">
      <alignment horizontal="center" vertical="center"/>
    </xf>
    <xf numFmtId="0" fontId="12" fillId="8" borderId="9" xfId="0" applyFont="1" applyFill="1" applyBorder="1" applyAlignment="1">
      <alignment horizontal="center" vertical="center"/>
    </xf>
    <xf numFmtId="4" fontId="12" fillId="0" borderId="9" xfId="0" applyNumberFormat="1" applyFont="1" applyBorder="1" applyAlignment="1">
      <alignment horizontal="center" vertical="center"/>
    </xf>
    <xf numFmtId="4" fontId="28" fillId="11" borderId="9" xfId="0" applyNumberFormat="1" applyFont="1" applyFill="1" applyBorder="1" applyAlignment="1">
      <alignment horizontal="center" vertical="center"/>
    </xf>
    <xf numFmtId="4" fontId="8" fillId="11" borderId="9" xfId="0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vertical="center" wrapText="1"/>
    </xf>
    <xf numFmtId="0" fontId="12" fillId="19" borderId="30" xfId="0" applyFont="1" applyFill="1" applyBorder="1" applyAlignment="1">
      <alignment horizontal="center"/>
    </xf>
    <xf numFmtId="4" fontId="12" fillId="0" borderId="13" xfId="0" applyNumberFormat="1" applyFont="1" applyBorder="1" applyAlignment="1">
      <alignment horizontal="center" vertical="center"/>
    </xf>
    <xf numFmtId="4" fontId="12" fillId="15" borderId="9" xfId="0" applyNumberFormat="1" applyFont="1" applyFill="1" applyBorder="1" applyAlignment="1">
      <alignment horizontal="center" vertical="center"/>
    </xf>
    <xf numFmtId="0" fontId="12" fillId="19" borderId="0" xfId="0" applyFont="1" applyFill="1"/>
    <xf numFmtId="4" fontId="28" fillId="11" borderId="9" xfId="0" applyNumberFormat="1" applyFont="1" applyFill="1" applyBorder="1" applyAlignment="1">
      <alignment vertical="center"/>
    </xf>
    <xf numFmtId="4" fontId="8" fillId="11" borderId="9" xfId="0" applyNumberFormat="1" applyFont="1" applyFill="1" applyBorder="1" applyAlignment="1">
      <alignment vertical="center"/>
    </xf>
    <xf numFmtId="0" fontId="12" fillId="0" borderId="11" xfId="0" applyFont="1" applyBorder="1"/>
    <xf numFmtId="0" fontId="12" fillId="0" borderId="30" xfId="0" applyFont="1" applyBorder="1" applyAlignment="1">
      <alignment horizontal="center"/>
    </xf>
    <xf numFmtId="0" fontId="30" fillId="0" borderId="0" xfId="0" applyFont="1" applyAlignment="1">
      <alignment horizontal="center" vertical="center"/>
    </xf>
    <xf numFmtId="0" fontId="31" fillId="0" borderId="37" xfId="0" applyFont="1" applyBorder="1" applyAlignment="1">
      <alignment horizontal="center" vertical="center" wrapText="1"/>
    </xf>
    <xf numFmtId="0" fontId="32" fillId="0" borderId="38" xfId="0" applyFont="1" applyBorder="1" applyAlignment="1">
      <alignment horizontal="center" vertical="center" wrapText="1"/>
    </xf>
    <xf numFmtId="0" fontId="32" fillId="0" borderId="39" xfId="0" applyFont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8" borderId="40" xfId="0" applyFont="1" applyFill="1" applyBorder="1" applyAlignment="1">
      <alignment horizontal="center" vertical="center" wrapText="1"/>
    </xf>
    <xf numFmtId="0" fontId="31" fillId="0" borderId="5" xfId="0" applyFont="1" applyBorder="1" applyAlignment="1">
      <alignment horizontal="center" vertical="center" wrapText="1"/>
    </xf>
    <xf numFmtId="0" fontId="31" fillId="0" borderId="38" xfId="0" applyFont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0" fontId="33" fillId="0" borderId="41" xfId="0" applyFont="1" applyBorder="1" applyAlignment="1">
      <alignment vertical="center" wrapText="1"/>
    </xf>
    <xf numFmtId="0" fontId="34" fillId="20" borderId="12" xfId="0" applyFont="1" applyFill="1" applyBorder="1" applyAlignment="1">
      <alignment horizontal="center"/>
    </xf>
    <xf numFmtId="0" fontId="34" fillId="0" borderId="0" xfId="0" applyFont="1" applyAlignment="1">
      <alignment horizontal="center"/>
    </xf>
    <xf numFmtId="0" fontId="34" fillId="4" borderId="0" xfId="0" applyFont="1" applyFill="1" applyAlignment="1">
      <alignment horizontal="center"/>
    </xf>
    <xf numFmtId="0" fontId="34" fillId="21" borderId="12" xfId="0" applyFont="1" applyFill="1" applyBorder="1" applyAlignment="1">
      <alignment horizontal="center" vertical="center" wrapText="1"/>
    </xf>
    <xf numFmtId="0" fontId="34" fillId="0" borderId="42" xfId="0" applyFont="1" applyBorder="1" applyAlignment="1">
      <alignment horizontal="center"/>
    </xf>
    <xf numFmtId="0" fontId="34" fillId="0" borderId="41" xfId="0" applyFont="1" applyBorder="1" applyAlignment="1">
      <alignment horizontal="center"/>
    </xf>
    <xf numFmtId="0" fontId="34" fillId="0" borderId="12" xfId="0" applyFont="1" applyBorder="1" applyAlignment="1">
      <alignment horizontal="center"/>
    </xf>
    <xf numFmtId="0" fontId="34" fillId="21" borderId="12" xfId="0" applyFont="1" applyFill="1" applyBorder="1" applyAlignment="1">
      <alignment horizontal="center"/>
    </xf>
    <xf numFmtId="0" fontId="34" fillId="0" borderId="36" xfId="0" applyFont="1" applyBorder="1" applyAlignment="1">
      <alignment horizontal="center"/>
    </xf>
    <xf numFmtId="4" fontId="12" fillId="0" borderId="0" xfId="0" applyNumberFormat="1" applyFont="1"/>
    <xf numFmtId="0" fontId="34" fillId="0" borderId="30" xfId="0" applyFont="1" applyBorder="1"/>
    <xf numFmtId="0" fontId="34" fillId="0" borderId="9" xfId="0" applyFont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34" fillId="14" borderId="9" xfId="0" applyFont="1" applyFill="1" applyBorder="1" applyAlignment="1">
      <alignment horizontal="center" vertical="center" wrapText="1"/>
    </xf>
    <xf numFmtId="0" fontId="34" fillId="0" borderId="43" xfId="0" applyFont="1" applyBorder="1" applyAlignment="1">
      <alignment horizontal="center"/>
    </xf>
    <xf numFmtId="0" fontId="34" fillId="0" borderId="30" xfId="0" applyFont="1" applyBorder="1" applyAlignment="1">
      <alignment horizontal="center"/>
    </xf>
    <xf numFmtId="0" fontId="34" fillId="0" borderId="9" xfId="0" applyFont="1" applyBorder="1" applyAlignment="1">
      <alignment horizontal="center"/>
    </xf>
    <xf numFmtId="0" fontId="34" fillId="0" borderId="31" xfId="0" applyFont="1" applyBorder="1" applyAlignment="1">
      <alignment horizontal="center"/>
    </xf>
    <xf numFmtId="0" fontId="34" fillId="0" borderId="0" xfId="0" applyFont="1"/>
    <xf numFmtId="0" fontId="33" fillId="0" borderId="30" xfId="0" applyFont="1" applyBorder="1" applyAlignment="1">
      <alignment vertical="center" wrapText="1"/>
    </xf>
    <xf numFmtId="0" fontId="34" fillId="22" borderId="9" xfId="0" applyFont="1" applyFill="1" applyBorder="1" applyAlignment="1">
      <alignment horizontal="center" vertical="center" wrapText="1"/>
    </xf>
    <xf numFmtId="0" fontId="34" fillId="21" borderId="9" xfId="0" applyFont="1" applyFill="1" applyBorder="1" applyAlignment="1">
      <alignment horizontal="center"/>
    </xf>
    <xf numFmtId="0" fontId="34" fillId="23" borderId="9" xfId="0" applyFont="1" applyFill="1" applyBorder="1" applyAlignment="1">
      <alignment horizontal="center" vertical="center"/>
    </xf>
    <xf numFmtId="0" fontId="34" fillId="4" borderId="13" xfId="0" applyFont="1" applyFill="1" applyBorder="1" applyAlignment="1">
      <alignment horizontal="center" vertical="center" wrapText="1"/>
    </xf>
    <xf numFmtId="0" fontId="34" fillId="23" borderId="31" xfId="0" applyFont="1" applyFill="1" applyBorder="1" applyAlignment="1">
      <alignment horizontal="center"/>
    </xf>
    <xf numFmtId="0" fontId="34" fillId="0" borderId="27" xfId="0" applyFont="1" applyBorder="1"/>
    <xf numFmtId="0" fontId="34" fillId="0" borderId="44" xfId="0" applyFont="1" applyBorder="1" applyAlignment="1">
      <alignment horizontal="center"/>
    </xf>
    <xf numFmtId="0" fontId="34" fillId="0" borderId="27" xfId="0" applyFont="1" applyBorder="1" applyAlignment="1">
      <alignment horizontal="center"/>
    </xf>
    <xf numFmtId="0" fontId="34" fillId="0" borderId="10" xfId="0" applyFont="1" applyBorder="1" applyAlignment="1">
      <alignment horizontal="center"/>
    </xf>
    <xf numFmtId="0" fontId="34" fillId="0" borderId="26" xfId="0" applyFont="1" applyBorder="1" applyAlignment="1">
      <alignment horizontal="center"/>
    </xf>
    <xf numFmtId="0" fontId="35" fillId="0" borderId="37" xfId="0" applyFont="1" applyBorder="1" applyAlignment="1">
      <alignment horizontal="center"/>
    </xf>
    <xf numFmtId="0" fontId="35" fillId="0" borderId="38" xfId="0" applyFont="1" applyBorder="1" applyAlignment="1">
      <alignment horizontal="center" vertical="center" wrapText="1"/>
    </xf>
    <xf numFmtId="0" fontId="35" fillId="0" borderId="5" xfId="0" applyFont="1" applyBorder="1" applyAlignment="1">
      <alignment horizontal="center" vertical="center" wrapText="1"/>
    </xf>
    <xf numFmtId="0" fontId="35" fillId="7" borderId="37" xfId="0" applyFont="1" applyFill="1" applyBorder="1" applyAlignment="1">
      <alignment horizontal="center"/>
    </xf>
    <xf numFmtId="0" fontId="35" fillId="7" borderId="38" xfId="0" applyFont="1" applyFill="1" applyBorder="1" applyAlignment="1">
      <alignment horizontal="center"/>
    </xf>
    <xf numFmtId="0" fontId="35" fillId="21" borderId="38" xfId="0" applyFont="1" applyFill="1" applyBorder="1" applyAlignment="1">
      <alignment horizontal="center"/>
    </xf>
    <xf numFmtId="0" fontId="35" fillId="23" borderId="40" xfId="0" applyFont="1" applyFill="1" applyBorder="1" applyAlignment="1">
      <alignment horizontal="center"/>
    </xf>
    <xf numFmtId="0" fontId="34" fillId="0" borderId="37" xfId="0" applyFont="1" applyBorder="1"/>
    <xf numFmtId="0" fontId="34" fillId="7" borderId="38" xfId="0" applyFont="1" applyFill="1" applyBorder="1" applyAlignment="1">
      <alignment horizontal="center" vertical="center" wrapText="1"/>
    </xf>
    <xf numFmtId="0" fontId="35" fillId="7" borderId="8" xfId="0" applyFont="1" applyFill="1" applyBorder="1" applyAlignment="1">
      <alignment horizontal="center"/>
    </xf>
    <xf numFmtId="0" fontId="34" fillId="13" borderId="41" xfId="0" applyFont="1" applyFill="1" applyBorder="1"/>
    <xf numFmtId="0" fontId="34" fillId="0" borderId="12" xfId="0" applyFont="1" applyBorder="1" applyAlignment="1">
      <alignment horizontal="center" vertical="center" wrapText="1"/>
    </xf>
    <xf numFmtId="0" fontId="34" fillId="13" borderId="12" xfId="0" applyFont="1" applyFill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1" fillId="13" borderId="7" xfId="0" applyFont="1" applyFill="1" applyBorder="1" applyAlignment="1">
      <alignment horizontal="center" vertical="center" wrapText="1"/>
    </xf>
    <xf numFmtId="0" fontId="34" fillId="8" borderId="30" xfId="0" applyFont="1" applyFill="1" applyBorder="1"/>
    <xf numFmtId="0" fontId="34" fillId="8" borderId="11" xfId="0" applyFont="1" applyFill="1" applyBorder="1" applyAlignment="1">
      <alignment horizontal="center" vertical="center" wrapText="1"/>
    </xf>
    <xf numFmtId="0" fontId="31" fillId="8" borderId="35" xfId="0" applyFont="1" applyFill="1" applyBorder="1" applyAlignment="1">
      <alignment horizontal="center" vertical="center" wrapText="1"/>
    </xf>
    <xf numFmtId="0" fontId="34" fillId="21" borderId="30" xfId="0" applyFont="1" applyFill="1" applyBorder="1"/>
    <xf numFmtId="0" fontId="34" fillId="21" borderId="9" xfId="0" applyFont="1" applyFill="1" applyBorder="1" applyAlignment="1">
      <alignment horizontal="center" vertical="center" wrapText="1"/>
    </xf>
    <xf numFmtId="0" fontId="34" fillId="21" borderId="11" xfId="0" applyFont="1" applyFill="1" applyBorder="1" applyAlignment="1">
      <alignment horizontal="center" vertical="center" wrapText="1"/>
    </xf>
    <xf numFmtId="0" fontId="35" fillId="21" borderId="8" xfId="0" applyFont="1" applyFill="1" applyBorder="1" applyAlignment="1">
      <alignment horizontal="center"/>
    </xf>
    <xf numFmtId="0" fontId="34" fillId="23" borderId="32" xfId="0" applyFont="1" applyFill="1" applyBorder="1"/>
    <xf numFmtId="0" fontId="34" fillId="0" borderId="33" xfId="0" applyFont="1" applyBorder="1" applyAlignment="1">
      <alignment horizontal="center" vertical="center" wrapText="1"/>
    </xf>
    <xf numFmtId="0" fontId="34" fillId="0" borderId="33" xfId="0" applyFont="1" applyBorder="1" applyAlignment="1">
      <alignment horizontal="center"/>
    </xf>
    <xf numFmtId="0" fontId="34" fillId="23" borderId="33" xfId="0" applyFont="1" applyFill="1" applyBorder="1" applyAlignment="1">
      <alignment horizontal="center" vertical="center" wrapText="1"/>
    </xf>
    <xf numFmtId="0" fontId="34" fillId="0" borderId="34" xfId="0" applyFont="1" applyBorder="1" applyAlignment="1">
      <alignment horizontal="center" vertical="center" wrapText="1"/>
    </xf>
    <xf numFmtId="0" fontId="35" fillId="23" borderId="8" xfId="0" applyFont="1" applyFill="1" applyBorder="1" applyAlignment="1">
      <alignment horizontal="center"/>
    </xf>
    <xf numFmtId="0" fontId="36" fillId="0" borderId="0" xfId="0" applyFont="1"/>
    <xf numFmtId="0" fontId="2" fillId="3" borderId="8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0" fontId="3" fillId="0" borderId="0" xfId="1" applyFont="1" applyAlignment="1">
      <alignment horizontal="left"/>
    </xf>
    <xf numFmtId="43" fontId="3" fillId="0" borderId="0" xfId="1" applyNumberFormat="1" applyFont="1" applyAlignment="1">
      <alignment horizontal="left"/>
    </xf>
    <xf numFmtId="43" fontId="3" fillId="0" borderId="0" xfId="1" applyNumberFormat="1" applyFont="1" applyAlignment="1">
      <alignment horizontal="center"/>
    </xf>
    <xf numFmtId="167" fontId="3" fillId="0" borderId="0" xfId="1" applyNumberFormat="1" applyFont="1" applyAlignment="1">
      <alignment horizontal="center"/>
    </xf>
    <xf numFmtId="0" fontId="3" fillId="0" borderId="0" xfId="1" applyFont="1" applyAlignment="1">
      <alignment horizontal="center"/>
    </xf>
    <xf numFmtId="0" fontId="8" fillId="24" borderId="20" xfId="0" applyFont="1" applyFill="1" applyBorder="1"/>
    <xf numFmtId="0" fontId="8" fillId="24" borderId="13" xfId="0" applyFont="1" applyFill="1" applyBorder="1"/>
    <xf numFmtId="43" fontId="3" fillId="0" borderId="0" xfId="2" applyFont="1" applyBorder="1" applyAlignment="1">
      <alignment horizontal="left" wrapText="1"/>
    </xf>
    <xf numFmtId="0" fontId="3" fillId="0" borderId="9" xfId="1" applyFont="1" applyBorder="1" applyAlignment="1">
      <alignment horizontal="left" wrapText="1"/>
    </xf>
    <xf numFmtId="43" fontId="3" fillId="0" borderId="9" xfId="2" applyFont="1" applyFill="1" applyBorder="1" applyAlignment="1">
      <alignment horizontal="left" wrapText="1"/>
    </xf>
    <xf numFmtId="164" fontId="3" fillId="0" borderId="9" xfId="2" applyNumberFormat="1" applyFont="1" applyFill="1" applyBorder="1" applyAlignment="1">
      <alignment wrapText="1"/>
    </xf>
    <xf numFmtId="164" fontId="3" fillId="0" borderId="9" xfId="1" applyNumberFormat="1" applyFont="1" applyBorder="1"/>
    <xf numFmtId="0" fontId="3" fillId="0" borderId="0" xfId="1" applyFont="1" applyAlignment="1">
      <alignment horizontal="left" wrapText="1"/>
    </xf>
    <xf numFmtId="0" fontId="3" fillId="0" borderId="0" xfId="2" applyNumberFormat="1" applyFont="1" applyFill="1" applyBorder="1" applyAlignment="1">
      <alignment horizontal="left" wrapText="1"/>
    </xf>
    <xf numFmtId="0" fontId="3" fillId="0" borderId="10" xfId="1" applyFont="1" applyBorder="1" applyAlignment="1">
      <alignment horizontal="left" wrapText="1"/>
    </xf>
    <xf numFmtId="0" fontId="3" fillId="0" borderId="15" xfId="1" applyFont="1" applyBorder="1" applyAlignment="1">
      <alignment horizontal="left" wrapText="1"/>
    </xf>
    <xf numFmtId="0" fontId="6" fillId="6" borderId="18" xfId="0" applyFont="1" applyFill="1" applyBorder="1" applyAlignment="1">
      <alignment horizontal="center" vertical="center"/>
    </xf>
    <xf numFmtId="0" fontId="3" fillId="3" borderId="9" xfId="4" applyFont="1" applyFill="1" applyBorder="1" applyAlignment="1">
      <alignment horizontal="center" vertical="center" wrapText="1"/>
    </xf>
    <xf numFmtId="0" fontId="10" fillId="0" borderId="21" xfId="1" applyFont="1" applyBorder="1" applyAlignment="1">
      <alignment horizontal="left" wrapText="1"/>
    </xf>
    <xf numFmtId="2" fontId="10" fillId="0" borderId="22" xfId="1" applyNumberFormat="1" applyFont="1" applyBorder="1" applyAlignment="1">
      <alignment horizontal="center"/>
    </xf>
    <xf numFmtId="0" fontId="8" fillId="4" borderId="13" xfId="0" applyFont="1" applyFill="1" applyBorder="1" applyAlignment="1">
      <alignment horizontal="center"/>
    </xf>
    <xf numFmtId="0" fontId="17" fillId="0" borderId="0" xfId="0" applyFont="1" applyAlignment="1">
      <alignment wrapText="1"/>
    </xf>
    <xf numFmtId="0" fontId="21" fillId="0" borderId="0" xfId="0" applyFont="1" applyAlignment="1">
      <alignment horizontal="center" wrapText="1"/>
    </xf>
    <xf numFmtId="0" fontId="16" fillId="0" borderId="0" xfId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1" xfId="0" applyFont="1" applyBorder="1" applyAlignment="1">
      <alignment horizontal="right"/>
    </xf>
    <xf numFmtId="0" fontId="2" fillId="0" borderId="13" xfId="0" applyFont="1" applyBorder="1" applyAlignment="1">
      <alignment horizontal="right"/>
    </xf>
    <xf numFmtId="0" fontId="22" fillId="0" borderId="19" xfId="0" applyFont="1" applyBorder="1" applyAlignment="1">
      <alignment horizontal="center" wrapText="1"/>
    </xf>
    <xf numFmtId="0" fontId="22" fillId="0" borderId="12" xfId="0" applyFont="1" applyBorder="1" applyAlignment="1">
      <alignment horizontal="center" wrapText="1"/>
    </xf>
    <xf numFmtId="0" fontId="23" fillId="0" borderId="19" xfId="0" applyFont="1" applyBorder="1" applyAlignment="1">
      <alignment horizontal="center" wrapText="1"/>
    </xf>
    <xf numFmtId="0" fontId="23" fillId="0" borderId="12" xfId="0" applyFont="1" applyBorder="1" applyAlignment="1">
      <alignment horizontal="center" wrapText="1"/>
    </xf>
    <xf numFmtId="0" fontId="23" fillId="0" borderId="10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22" fillId="4" borderId="10" xfId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/>
    </xf>
    <xf numFmtId="43" fontId="2" fillId="0" borderId="10" xfId="2" applyFont="1" applyFill="1" applyBorder="1" applyAlignment="1">
      <alignment horizontal="center" vertical="center" wrapText="1"/>
    </xf>
    <xf numFmtId="43" fontId="2" fillId="0" borderId="12" xfId="2" applyFont="1" applyFill="1" applyBorder="1" applyAlignment="1">
      <alignment horizontal="center" vertical="center" wrapText="1"/>
    </xf>
    <xf numFmtId="0" fontId="16" fillId="2" borderId="9" xfId="1" applyFont="1" applyFill="1" applyBorder="1" applyAlignment="1">
      <alignment horizontal="center" vertical="center"/>
    </xf>
    <xf numFmtId="0" fontId="16" fillId="2" borderId="11" xfId="1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22" fillId="4" borderId="9" xfId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wrapText="1"/>
    </xf>
    <xf numFmtId="0" fontId="31" fillId="4" borderId="15" xfId="1" applyFont="1" applyFill="1" applyBorder="1" applyAlignment="1">
      <alignment horizontal="center" vertical="center" wrapText="1"/>
    </xf>
    <xf numFmtId="0" fontId="8" fillId="4" borderId="15" xfId="1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/>
    </xf>
    <xf numFmtId="43" fontId="5" fillId="0" borderId="10" xfId="2" applyFont="1" applyFill="1" applyBorder="1" applyAlignment="1">
      <alignment horizontal="center" vertical="center" wrapText="1"/>
    </xf>
    <xf numFmtId="43" fontId="5" fillId="0" borderId="12" xfId="2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/>
    </xf>
    <xf numFmtId="0" fontId="10" fillId="2" borderId="11" xfId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1" xfId="0" applyFont="1" applyBorder="1" applyAlignment="1">
      <alignment horizontal="right"/>
    </xf>
    <xf numFmtId="0" fontId="5" fillId="0" borderId="13" xfId="0" applyFont="1" applyBorder="1" applyAlignment="1">
      <alignment horizontal="right"/>
    </xf>
    <xf numFmtId="0" fontId="8" fillId="0" borderId="19" xfId="0" applyFont="1" applyBorder="1" applyAlignment="1">
      <alignment horizontal="center" wrapText="1"/>
    </xf>
    <xf numFmtId="0" fontId="8" fillId="0" borderId="12" xfId="0" applyFont="1" applyBorder="1" applyAlignment="1">
      <alignment horizontal="center" wrapText="1"/>
    </xf>
    <xf numFmtId="0" fontId="11" fillId="0" borderId="19" xfId="0" applyFont="1" applyBorder="1" applyAlignment="1">
      <alignment horizontal="center" wrapText="1"/>
    </xf>
    <xf numFmtId="0" fontId="11" fillId="0" borderId="12" xfId="0" applyFont="1" applyBorder="1" applyAlignment="1">
      <alignment horizontal="center" wrapText="1"/>
    </xf>
    <xf numFmtId="0" fontId="11" fillId="0" borderId="10" xfId="0" applyFont="1" applyBorder="1" applyAlignment="1">
      <alignment horizontal="center" wrapText="1"/>
    </xf>
    <xf numFmtId="0" fontId="1" fillId="0" borderId="9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5">
    <cellStyle name="Comma 2 2 2" xfId="2" xr:uid="{19E71A8D-C383-4468-8444-02D4579D058D}"/>
    <cellStyle name="Normal" xfId="0" builtinId="0"/>
    <cellStyle name="Normal 2" xfId="1" xr:uid="{F80AECAA-E727-465B-BFD2-9A832A34529C}"/>
    <cellStyle name="Normal 28 7" xfId="3" xr:uid="{B754065A-093A-4EBD-A558-F2CB8A90AE30}"/>
    <cellStyle name="Normal 3 49" xfId="4" xr:uid="{6FABD1CA-BD69-464C-9D7B-33FB21B23F53}"/>
  </cellStyles>
  <dxfs count="2"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DB86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N:\2023%20Slimn&#299;cu%20l&#299;me&#326;o&#353;anas%20zi&#326;ojums\Slimn&#299;cu%20l&#299;me&#326;o&#353;ana_Finan&#353;u%20ietekmes%20apr&#275;&#311;ini\BKUS%20SPEC.%20GD\04_08_2023_Gultasdienas_BKUS_2024.xlsx" TargetMode="External"/><Relationship Id="rId1" Type="http://schemas.openxmlformats.org/officeDocument/2006/relationships/externalLinkPath" Target="file:///N:\2023%20Slimn&#299;cu%20l&#299;me&#326;o&#353;anas%20zi&#326;ojums\Slimn&#299;cu%20l&#299;me&#326;o&#353;ana_Finan&#353;u%20ietekmes%20apr&#275;&#311;ini\BKUS%20SPEC.%20GD\04_08_2023_Gultasdienas_BKUS_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Kopā"/>
      <sheetName val="ĶIRURĢIJA"/>
      <sheetName val="GINEKOLOĢIJA"/>
      <sheetName val="GRŪTNIEČU PAT"/>
      <sheetName val="Pediatrija_specializēta"/>
      <sheetName val="DZEMDĪBU PALĪDZĪBA"/>
      <sheetName val="PEDIATRIJA "/>
      <sheetName val="TERAPIJA"/>
      <sheetName val="TRAUMATOLOĢIJA"/>
      <sheetName val="Intensiva piemaksa"/>
      <sheetName val="Darba alg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5">
          <cell r="BE5">
            <v>0.2319</v>
          </cell>
        </row>
        <row r="8">
          <cell r="BE8">
            <v>0.14280000000000001</v>
          </cell>
        </row>
        <row r="9">
          <cell r="BE9">
            <v>0.17519999999999999</v>
          </cell>
        </row>
        <row r="11">
          <cell r="BE11">
            <v>9.3600000000000003E-2</v>
          </cell>
        </row>
        <row r="12">
          <cell r="BE12">
            <v>0.1149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F6BF8-1D16-4702-A8FB-4B70473C6A82}">
  <dimension ref="B1:N31"/>
  <sheetViews>
    <sheetView tabSelected="1" view="pageBreakPreview" topLeftCell="B1" zoomScale="110" zoomScaleNormal="110" zoomScaleSheetLayoutView="110" workbookViewId="0">
      <selection activeCell="M9" sqref="M9"/>
    </sheetView>
  </sheetViews>
  <sheetFormatPr defaultRowHeight="14.5" x14ac:dyDescent="0.35"/>
  <cols>
    <col min="2" max="2" width="34.7265625" customWidth="1"/>
    <col min="3" max="3" width="12.81640625" customWidth="1"/>
    <col min="11" max="11" width="21.1796875" customWidth="1"/>
  </cols>
  <sheetData>
    <row r="1" spans="2:14" x14ac:dyDescent="0.35">
      <c r="H1" t="s">
        <v>193</v>
      </c>
    </row>
    <row r="2" spans="2:14" ht="15.5" x14ac:dyDescent="0.35">
      <c r="B2" s="302" t="s">
        <v>180</v>
      </c>
      <c r="C2" s="302"/>
      <c r="D2" s="302"/>
      <c r="E2" s="302"/>
      <c r="F2" s="302"/>
      <c r="G2" s="302"/>
      <c r="H2" s="302"/>
      <c r="I2" s="302"/>
      <c r="J2" s="302"/>
    </row>
    <row r="4" spans="2:14" x14ac:dyDescent="0.35">
      <c r="B4" s="68" t="s">
        <v>178</v>
      </c>
    </row>
    <row r="5" spans="2:14" s="60" customFormat="1" ht="21" x14ac:dyDescent="0.35">
      <c r="D5" s="62" t="s">
        <v>1</v>
      </c>
      <c r="E5" s="63" t="s">
        <v>2</v>
      </c>
      <c r="F5" s="63" t="s">
        <v>3</v>
      </c>
      <c r="G5" s="63" t="s">
        <v>4</v>
      </c>
      <c r="H5" s="63" t="s">
        <v>5</v>
      </c>
      <c r="I5" s="63" t="s">
        <v>6</v>
      </c>
      <c r="J5" s="63" t="s">
        <v>7</v>
      </c>
      <c r="K5" s="64" t="s">
        <v>158</v>
      </c>
    </row>
    <row r="6" spans="2:14" x14ac:dyDescent="0.35">
      <c r="B6" s="65" t="str">
        <f>ĶIRURĢIJA!B2</f>
        <v>ĶIRURĢIJA</v>
      </c>
      <c r="C6" s="66">
        <f>ĶIRURĢIJA!N26</f>
        <v>140.43</v>
      </c>
      <c r="D6" s="67">
        <f>ĶIRURĢIJA!F20</f>
        <v>66.649999999999991</v>
      </c>
      <c r="E6" s="67">
        <f>ĶIRURĢIJA!G20</f>
        <v>15.719999999999999</v>
      </c>
      <c r="F6" s="67">
        <f>ĶIRURĢIJA!H20</f>
        <v>10.84</v>
      </c>
      <c r="G6" s="67">
        <f>ĶIRURĢIJA!I20</f>
        <v>7</v>
      </c>
      <c r="H6" s="67">
        <f>ĶIRURĢIJA!J20</f>
        <v>25.139999999999997</v>
      </c>
      <c r="I6" s="67">
        <f>ĶIRURĢIJA!K20</f>
        <v>9.5699999999999985</v>
      </c>
      <c r="J6" s="67">
        <f>ĶIRURĢIJA!L20+ĶIRURĢIJA!M20</f>
        <v>3.8600000000000003</v>
      </c>
      <c r="K6" s="67">
        <f>ĶIRURĢIJA!N25</f>
        <v>1.65</v>
      </c>
    </row>
    <row r="7" spans="2:14" x14ac:dyDescent="0.35">
      <c r="B7" s="65" t="str">
        <f>GINEKOLOĢIJA!B2</f>
        <v>GINEKOLOĢIJA</v>
      </c>
      <c r="C7" s="66">
        <f>GINEKOLOĢIJA!N26</f>
        <v>142.54</v>
      </c>
      <c r="D7" s="67">
        <f>GINEKOLOĢIJA!F20</f>
        <v>65.949999999999989</v>
      </c>
      <c r="E7" s="67">
        <f>GINEKOLOĢIJA!G20</f>
        <v>15.559999999999999</v>
      </c>
      <c r="F7" s="67">
        <f>GINEKOLOĢIJA!H20</f>
        <v>10.84</v>
      </c>
      <c r="G7" s="67">
        <f>GINEKOLOĢIJA!I20</f>
        <v>7</v>
      </c>
      <c r="H7" s="67">
        <f>GINEKOLOĢIJA!J20</f>
        <v>24.88</v>
      </c>
      <c r="I7" s="67">
        <f>GINEKOLOĢIJA!K20</f>
        <v>9.4699999999999989</v>
      </c>
      <c r="J7" s="67">
        <f>GINEKOLOĢIJA!L20+GINEKOLOĢIJA!M20</f>
        <v>5.6000000000000005</v>
      </c>
      <c r="K7" s="67">
        <f>GINEKOLOĢIJA!N25</f>
        <v>3.24</v>
      </c>
    </row>
    <row r="8" spans="2:14" x14ac:dyDescent="0.35">
      <c r="B8" s="65" t="str">
        <f>'GRŪTNIEČU PAT'!B2</f>
        <v>GRŪTNIEČU PATOLOĢIJA</v>
      </c>
      <c r="C8" s="66">
        <f>'GRŪTNIEČU PAT'!N26</f>
        <v>137.38</v>
      </c>
      <c r="D8" s="67">
        <f>'GRŪTNIEČU PAT'!F20</f>
        <v>64.47999999999999</v>
      </c>
      <c r="E8" s="67">
        <f>'GRŪTNIEČU PAT'!G20</f>
        <v>15.209999999999999</v>
      </c>
      <c r="F8" s="67">
        <f>'GRŪTNIEČU PAT'!H20</f>
        <v>8.43</v>
      </c>
      <c r="G8" s="67">
        <f>'GRŪTNIEČU PAT'!I20</f>
        <v>7</v>
      </c>
      <c r="H8" s="67">
        <f>'GRŪTNIEČU PAT'!J20</f>
        <v>24.319999999999997</v>
      </c>
      <c r="I8" s="67">
        <f>'GRŪTNIEČU PAT'!K20</f>
        <v>9.26</v>
      </c>
      <c r="J8" s="67">
        <f>'GRŪTNIEČU PAT'!L20+'GRŪTNIEČU PAT'!M20</f>
        <v>6.83</v>
      </c>
      <c r="K8" s="67">
        <f>'GRŪTNIEČU PAT'!N25</f>
        <v>1.85</v>
      </c>
    </row>
    <row r="9" spans="2:14" x14ac:dyDescent="0.35">
      <c r="B9" s="65" t="str">
        <f>'DZEMDĪBU PALĪDZĪBA'!B2</f>
        <v>DZEMDĪBU APRŪPE</v>
      </c>
      <c r="C9" s="66">
        <f>'DZEMDĪBU PALĪDZĪBA'!N26</f>
        <v>164.89999999999998</v>
      </c>
      <c r="D9" s="67">
        <f>'DZEMDĪBU PALĪDZĪBA'!F20</f>
        <v>79.849999999999994</v>
      </c>
      <c r="E9" s="67">
        <f>'DZEMDĪBU PALĪDZĪBA'!G20</f>
        <v>18.829999999999998</v>
      </c>
      <c r="F9" s="67">
        <f>'DZEMDĪBU PALĪDZĪBA'!H20</f>
        <v>8.43</v>
      </c>
      <c r="G9" s="67">
        <f>'DZEMDĪBU PALĪDZĪBA'!I20</f>
        <v>7</v>
      </c>
      <c r="H9" s="67">
        <f>'DZEMDĪBU PALĪDZĪBA'!J20</f>
        <v>30.11</v>
      </c>
      <c r="I9" s="67">
        <f>'DZEMDĪBU PALĪDZĪBA'!K20</f>
        <v>11.46</v>
      </c>
      <c r="J9" s="67">
        <f>'DZEMDĪBU PALĪDZĪBA'!L20+'DZEMDĪBU PALĪDZĪBA'!M20</f>
        <v>7.3699999999999992</v>
      </c>
      <c r="K9" s="67">
        <f>'DZEMDĪBU PALĪDZĪBA'!N25</f>
        <v>1.85</v>
      </c>
    </row>
    <row r="10" spans="2:14" x14ac:dyDescent="0.35">
      <c r="B10" s="65" t="str">
        <f>Pediatrija_specializēta!B2</f>
        <v>SPECIALIZĒTĀ PEDIATRIJA (BKUS)</v>
      </c>
      <c r="C10" s="66">
        <f>Pediatrija_specializēta!N26</f>
        <v>175.06</v>
      </c>
      <c r="D10" s="67">
        <f>Pediatrija_specializēta!F20</f>
        <v>82.789999999999992</v>
      </c>
      <c r="E10" s="67">
        <f>Pediatrija_specializēta!G20</f>
        <v>19.53</v>
      </c>
      <c r="F10" s="67">
        <f>Pediatrija_specializēta!H20</f>
        <v>18.23</v>
      </c>
      <c r="G10" s="67">
        <f>Pediatrija_specializēta!I20</f>
        <v>7</v>
      </c>
      <c r="H10" s="67">
        <f>Pediatrija_specializēta!J20</f>
        <v>31.23</v>
      </c>
      <c r="I10" s="67">
        <f>Pediatrija_specializēta!K20</f>
        <v>11.889999999999999</v>
      </c>
      <c r="J10" s="67">
        <f>Pediatrija_specializēta!L20+Pediatrija_specializēta!M20</f>
        <v>3.51</v>
      </c>
      <c r="K10" s="67">
        <f>Pediatrija_specializēta!N25</f>
        <v>0.88</v>
      </c>
    </row>
    <row r="11" spans="2:14" x14ac:dyDescent="0.35">
      <c r="B11" s="65" t="str">
        <f>'PEDIATRIJA '!B2</f>
        <v>PEDIATRIJA</v>
      </c>
      <c r="C11" s="66">
        <f>'PEDIATRIJA '!N26</f>
        <v>95.36999999999999</v>
      </c>
      <c r="D11" s="67">
        <f>'PEDIATRIJA '!F20</f>
        <v>42.78</v>
      </c>
      <c r="E11" s="67">
        <f>'PEDIATRIJA '!G20</f>
        <v>10.089999999999998</v>
      </c>
      <c r="F11" s="67">
        <f>'PEDIATRIJA '!H20</f>
        <v>10.23</v>
      </c>
      <c r="G11" s="67">
        <f>'PEDIATRIJA '!I20</f>
        <v>7</v>
      </c>
      <c r="H11" s="67">
        <f>'PEDIATRIJA '!J20</f>
        <v>16.13</v>
      </c>
      <c r="I11" s="67">
        <f>'PEDIATRIJA '!K20</f>
        <v>6.14</v>
      </c>
      <c r="J11" s="67">
        <f>'PEDIATRIJA '!L20+'PEDIATRIJA '!M20</f>
        <v>2.12</v>
      </c>
      <c r="K11" s="67">
        <f>'PEDIATRIJA '!N25</f>
        <v>0.88</v>
      </c>
    </row>
    <row r="12" spans="2:14" x14ac:dyDescent="0.35">
      <c r="B12" s="65" t="str">
        <f>TERAPIJA!B2</f>
        <v>TERAPIJA</v>
      </c>
      <c r="C12" s="66">
        <f>TERAPIJA!N26</f>
        <v>103.96</v>
      </c>
      <c r="D12" s="67">
        <f>TERAPIJA!F20</f>
        <v>39.379999999999995</v>
      </c>
      <c r="E12" s="67">
        <f>TERAPIJA!G20</f>
        <v>9.2900000000000009</v>
      </c>
      <c r="F12" s="67">
        <f>TERAPIJA!H20</f>
        <v>11.25</v>
      </c>
      <c r="G12" s="67">
        <f>TERAPIJA!I20</f>
        <v>7</v>
      </c>
      <c r="H12" s="67">
        <f>TERAPIJA!J20</f>
        <v>14.85</v>
      </c>
      <c r="I12" s="67">
        <f>TERAPIJA!K20</f>
        <v>5.6499999999999995</v>
      </c>
      <c r="J12" s="67">
        <f>TERAPIJA!L20+TERAPIJA!M20</f>
        <v>14.07</v>
      </c>
      <c r="K12" s="67">
        <f>TERAPIJA!N25</f>
        <v>2.4700000000000002</v>
      </c>
    </row>
    <row r="13" spans="2:14" x14ac:dyDescent="0.35">
      <c r="B13" s="65" t="str">
        <f>TRAUMATOLOĢIJA!B2</f>
        <v>TRAUMATOLOĢIJA</v>
      </c>
      <c r="C13" s="66">
        <f>TRAUMATOLOĢIJA!N26</f>
        <v>134.46</v>
      </c>
      <c r="D13" s="67">
        <f>TRAUMATOLOĢIJA!F20</f>
        <v>62.539999999999992</v>
      </c>
      <c r="E13" s="67">
        <f>TRAUMATOLOĢIJA!G20</f>
        <v>14.750000000000002</v>
      </c>
      <c r="F13" s="67">
        <f>TRAUMATOLOĢIJA!H20</f>
        <v>10.31</v>
      </c>
      <c r="G13" s="67">
        <f>TRAUMATOLOĢIJA!I20</f>
        <v>7</v>
      </c>
      <c r="H13" s="67">
        <f>TRAUMATOLOĢIJA!J20</f>
        <v>23.58</v>
      </c>
      <c r="I13" s="67">
        <f>TRAUMATOLOĢIJA!K20</f>
        <v>8.9700000000000006</v>
      </c>
      <c r="J13" s="67">
        <f>TRAUMATOLOĢIJA!L20+TRAUMATOLOĢIJA!M20</f>
        <v>4.9399999999999995</v>
      </c>
      <c r="K13" s="67">
        <f>TRAUMATOLOĢIJA!N25</f>
        <v>2.37</v>
      </c>
    </row>
    <row r="15" spans="2:14" x14ac:dyDescent="0.35">
      <c r="B15" s="68" t="s">
        <v>179</v>
      </c>
    </row>
    <row r="16" spans="2:14" s="45" customFormat="1" ht="42" x14ac:dyDescent="0.35">
      <c r="D16" s="59" t="s">
        <v>8</v>
      </c>
      <c r="E16" s="59" t="s">
        <v>9</v>
      </c>
      <c r="F16" s="59" t="s">
        <v>10</v>
      </c>
      <c r="G16" s="59" t="s">
        <v>11</v>
      </c>
      <c r="H16" s="59" t="s">
        <v>12</v>
      </c>
      <c r="I16" s="59" t="s">
        <v>13</v>
      </c>
      <c r="J16" s="59" t="s">
        <v>14</v>
      </c>
      <c r="K16" s="61"/>
      <c r="L16" s="301"/>
      <c r="M16" s="301"/>
      <c r="N16" s="301"/>
    </row>
    <row r="17" spans="2:14" x14ac:dyDescent="0.35">
      <c r="D17" s="47" t="s">
        <v>1</v>
      </c>
      <c r="E17" s="48" t="s">
        <v>2</v>
      </c>
      <c r="F17" s="48" t="s">
        <v>3</v>
      </c>
      <c r="G17" s="48" t="s">
        <v>4</v>
      </c>
      <c r="H17" s="48" t="s">
        <v>5</v>
      </c>
      <c r="I17" s="48" t="s">
        <v>6</v>
      </c>
      <c r="J17" s="56" t="s">
        <v>7</v>
      </c>
      <c r="K17" s="51"/>
      <c r="L17" s="301"/>
      <c r="M17" s="301"/>
      <c r="N17" s="301"/>
    </row>
    <row r="18" spans="2:14" x14ac:dyDescent="0.35">
      <c r="B18" s="65" t="s">
        <v>15</v>
      </c>
      <c r="C18" s="66" t="s">
        <v>16</v>
      </c>
      <c r="D18" s="49">
        <v>157.01999999999998</v>
      </c>
      <c r="E18" s="49">
        <v>37.04</v>
      </c>
      <c r="F18" s="49">
        <v>15.34</v>
      </c>
      <c r="G18" s="49">
        <v>3</v>
      </c>
      <c r="H18" s="49">
        <v>32.51</v>
      </c>
      <c r="I18" s="49">
        <v>4.9800000000000004</v>
      </c>
      <c r="J18" s="57">
        <v>3.79</v>
      </c>
      <c r="K18" s="52"/>
      <c r="L18" s="53"/>
      <c r="M18" s="53"/>
      <c r="N18" s="53"/>
    </row>
    <row r="19" spans="2:14" x14ac:dyDescent="0.35">
      <c r="B19" s="65" t="s">
        <v>17</v>
      </c>
      <c r="C19" s="66" t="s">
        <v>18</v>
      </c>
      <c r="D19" s="49">
        <v>90.72</v>
      </c>
      <c r="E19" s="49">
        <v>21.4</v>
      </c>
      <c r="F19" s="49">
        <v>1.73</v>
      </c>
      <c r="G19" s="49">
        <v>3</v>
      </c>
      <c r="H19" s="49">
        <v>19.64</v>
      </c>
      <c r="I19" s="49">
        <v>2.87</v>
      </c>
      <c r="J19" s="57">
        <v>2.19</v>
      </c>
      <c r="K19" s="52"/>
      <c r="L19" s="53"/>
      <c r="M19" s="53"/>
      <c r="N19" s="53"/>
    </row>
    <row r="20" spans="2:14" x14ac:dyDescent="0.35">
      <c r="B20" s="65" t="s">
        <v>19</v>
      </c>
      <c r="C20" s="66" t="s">
        <v>20</v>
      </c>
      <c r="D20" s="49">
        <v>82.09</v>
      </c>
      <c r="E20" s="49">
        <v>19.36</v>
      </c>
      <c r="F20" s="49">
        <v>1.73</v>
      </c>
      <c r="G20" s="49">
        <v>3</v>
      </c>
      <c r="H20" s="49">
        <v>17.95</v>
      </c>
      <c r="I20" s="49">
        <v>2.6</v>
      </c>
      <c r="J20" s="57">
        <v>1.98</v>
      </c>
      <c r="K20" s="52"/>
      <c r="L20" s="53"/>
      <c r="M20" s="53"/>
      <c r="N20" s="53"/>
    </row>
    <row r="21" spans="2:14" x14ac:dyDescent="0.35">
      <c r="B21" s="65" t="s">
        <v>21</v>
      </c>
      <c r="C21" s="66" t="s">
        <v>22</v>
      </c>
      <c r="D21" s="49">
        <v>61.42</v>
      </c>
      <c r="E21" s="49">
        <v>14.49</v>
      </c>
      <c r="F21" s="49">
        <v>1.1800000000000002</v>
      </c>
      <c r="G21" s="49">
        <v>3</v>
      </c>
      <c r="H21" s="49">
        <v>13.93</v>
      </c>
      <c r="I21" s="49">
        <v>1.94</v>
      </c>
      <c r="J21" s="57">
        <v>1.48</v>
      </c>
      <c r="K21" s="52"/>
      <c r="L21" s="53"/>
      <c r="M21" s="53"/>
      <c r="N21" s="53"/>
    </row>
    <row r="22" spans="2:14" x14ac:dyDescent="0.35">
      <c r="B22" s="65" t="s">
        <v>23</v>
      </c>
      <c r="C22" s="66" t="s">
        <v>24</v>
      </c>
      <c r="D22" s="49">
        <v>79.039999999999992</v>
      </c>
      <c r="E22" s="49">
        <v>18.649999999999999</v>
      </c>
      <c r="F22" s="49">
        <v>2.0299999999999998</v>
      </c>
      <c r="G22" s="49">
        <v>3</v>
      </c>
      <c r="H22" s="49">
        <v>17.36</v>
      </c>
      <c r="I22" s="49">
        <v>2.5099999999999998</v>
      </c>
      <c r="J22" s="57">
        <v>1.91</v>
      </c>
      <c r="K22" s="52"/>
      <c r="L22" s="53"/>
      <c r="M22" s="53"/>
      <c r="N22" s="53"/>
    </row>
    <row r="23" spans="2:14" x14ac:dyDescent="0.35">
      <c r="B23" s="65" t="s">
        <v>25</v>
      </c>
      <c r="C23" s="66" t="s">
        <v>24</v>
      </c>
      <c r="D23" s="49">
        <v>79.039999999999992</v>
      </c>
      <c r="E23" s="49">
        <v>18.649999999999999</v>
      </c>
      <c r="F23" s="49">
        <v>2.0299999999999998</v>
      </c>
      <c r="G23" s="49">
        <v>3</v>
      </c>
      <c r="H23" s="49">
        <v>17.36</v>
      </c>
      <c r="I23" s="49">
        <v>2.5099999999999998</v>
      </c>
      <c r="J23" s="57">
        <v>1.91</v>
      </c>
      <c r="K23" s="52"/>
      <c r="L23" s="53"/>
      <c r="M23" s="53"/>
      <c r="N23" s="53"/>
    </row>
    <row r="24" spans="2:14" x14ac:dyDescent="0.35">
      <c r="B24" s="65" t="s">
        <v>26</v>
      </c>
      <c r="C24" s="66" t="s">
        <v>27</v>
      </c>
      <c r="D24" s="49">
        <v>67.009999999999991</v>
      </c>
      <c r="E24" s="49">
        <v>15.809999999999999</v>
      </c>
      <c r="F24" s="49">
        <v>1.6199999999999999</v>
      </c>
      <c r="G24" s="49">
        <v>3</v>
      </c>
      <c r="H24" s="49">
        <v>15.04</v>
      </c>
      <c r="I24" s="49">
        <v>2.13</v>
      </c>
      <c r="J24" s="57">
        <v>1.62</v>
      </c>
      <c r="K24" s="52"/>
      <c r="L24" s="53"/>
      <c r="M24" s="53"/>
      <c r="N24" s="53"/>
    </row>
    <row r="25" spans="2:14" x14ac:dyDescent="0.35">
      <c r="B25" s="65" t="s">
        <v>28</v>
      </c>
      <c r="C25" s="66" t="s">
        <v>29</v>
      </c>
      <c r="D25" s="49">
        <v>73.63</v>
      </c>
      <c r="E25" s="49">
        <v>17.369999999999997</v>
      </c>
      <c r="F25" s="49">
        <v>1.6</v>
      </c>
      <c r="G25" s="49">
        <v>3</v>
      </c>
      <c r="H25" s="49">
        <v>16.32</v>
      </c>
      <c r="I25" s="49">
        <v>2.34</v>
      </c>
      <c r="J25" s="57">
        <v>1.78</v>
      </c>
      <c r="K25" s="52"/>
      <c r="L25" s="53"/>
      <c r="M25" s="53"/>
      <c r="N25" s="53"/>
    </row>
    <row r="26" spans="2:14" x14ac:dyDescent="0.35">
      <c r="B26" s="65" t="s">
        <v>30</v>
      </c>
      <c r="C26" s="66" t="s">
        <v>31</v>
      </c>
      <c r="D26" s="50">
        <v>57.19</v>
      </c>
      <c r="E26" s="50">
        <v>13.49</v>
      </c>
      <c r="F26" s="50">
        <v>1.31</v>
      </c>
      <c r="G26" s="49">
        <v>3</v>
      </c>
      <c r="H26" s="50">
        <v>11.21</v>
      </c>
      <c r="I26" s="50">
        <v>1.5</v>
      </c>
      <c r="J26" s="58">
        <v>1.1399999999999999</v>
      </c>
      <c r="K26" s="52"/>
      <c r="L26" s="53"/>
      <c r="M26" s="53"/>
      <c r="N26" s="53"/>
    </row>
    <row r="27" spans="2:14" x14ac:dyDescent="0.35">
      <c r="B27" s="65" t="s">
        <v>32</v>
      </c>
      <c r="C27" s="66" t="s">
        <v>33</v>
      </c>
      <c r="D27" s="49">
        <v>33.51</v>
      </c>
      <c r="E27" s="49">
        <v>7.91</v>
      </c>
      <c r="F27" s="49">
        <v>1.9500000000000002</v>
      </c>
      <c r="G27" s="49">
        <v>3</v>
      </c>
      <c r="H27" s="49">
        <v>7.31</v>
      </c>
      <c r="I27" s="49">
        <v>0.86</v>
      </c>
      <c r="J27" s="57">
        <v>0.66</v>
      </c>
      <c r="K27" s="52"/>
      <c r="L27" s="53"/>
      <c r="M27" s="53"/>
      <c r="N27" s="53"/>
    </row>
    <row r="28" spans="2:14" x14ac:dyDescent="0.35">
      <c r="B28" s="65" t="s">
        <v>0</v>
      </c>
      <c r="C28" s="66" t="s">
        <v>34</v>
      </c>
      <c r="D28" s="49">
        <v>42.5</v>
      </c>
      <c r="E28" s="49">
        <v>10.02</v>
      </c>
      <c r="F28" s="49">
        <v>1.52</v>
      </c>
      <c r="G28" s="49">
        <v>3</v>
      </c>
      <c r="H28" s="49">
        <v>9.98</v>
      </c>
      <c r="I28" s="49">
        <v>1.3</v>
      </c>
      <c r="J28" s="57">
        <v>0.99</v>
      </c>
      <c r="K28" s="52"/>
      <c r="L28" s="53"/>
      <c r="M28" s="53"/>
      <c r="N28" s="53"/>
    </row>
    <row r="29" spans="2:14" x14ac:dyDescent="0.35">
      <c r="B29" s="65" t="s">
        <v>35</v>
      </c>
      <c r="C29" s="66" t="s">
        <v>36</v>
      </c>
      <c r="D29" s="49">
        <v>48.56</v>
      </c>
      <c r="E29" s="49">
        <v>11.45</v>
      </c>
      <c r="F29" s="49">
        <v>4.83</v>
      </c>
      <c r="G29" s="49">
        <v>3</v>
      </c>
      <c r="H29" s="49">
        <v>11.68</v>
      </c>
      <c r="I29" s="49">
        <v>1.5699999999999998</v>
      </c>
      <c r="J29" s="57">
        <v>1.2</v>
      </c>
      <c r="K29" s="52"/>
      <c r="L29" s="54"/>
      <c r="M29" s="54"/>
      <c r="N29" s="54"/>
    </row>
    <row r="30" spans="2:14" x14ac:dyDescent="0.35">
      <c r="B30" s="65" t="s">
        <v>37</v>
      </c>
      <c r="C30" s="66" t="s">
        <v>38</v>
      </c>
      <c r="D30" s="50">
        <v>33.51</v>
      </c>
      <c r="E30" s="50">
        <v>7.91</v>
      </c>
      <c r="F30" s="50">
        <v>2.36</v>
      </c>
      <c r="G30" s="49">
        <v>3</v>
      </c>
      <c r="H30" s="50">
        <v>7.91</v>
      </c>
      <c r="I30" s="50">
        <v>0.86</v>
      </c>
      <c r="J30" s="58">
        <v>7.3</v>
      </c>
      <c r="K30" s="52"/>
      <c r="L30" s="55"/>
      <c r="M30" s="55"/>
      <c r="N30" s="55"/>
    </row>
    <row r="31" spans="2:14" x14ac:dyDescent="0.35">
      <c r="B31" s="65" t="s">
        <v>39</v>
      </c>
      <c r="C31" s="66" t="s">
        <v>33</v>
      </c>
      <c r="D31" s="50">
        <v>33.51</v>
      </c>
      <c r="E31" s="50">
        <v>7.91</v>
      </c>
      <c r="F31" s="50">
        <v>1.9500000000000002</v>
      </c>
      <c r="G31" s="49">
        <v>3</v>
      </c>
      <c r="H31" s="50">
        <v>7.31</v>
      </c>
      <c r="I31" s="50">
        <v>0.86</v>
      </c>
      <c r="J31" s="58">
        <v>0.66</v>
      </c>
      <c r="K31" s="52"/>
      <c r="L31" s="55"/>
      <c r="M31" s="55"/>
      <c r="N31" s="55"/>
    </row>
  </sheetData>
  <mergeCells count="4">
    <mergeCell ref="L16:L17"/>
    <mergeCell ref="M16:M17"/>
    <mergeCell ref="N16:N17"/>
    <mergeCell ref="B2:J2"/>
  </mergeCells>
  <pageMargins left="0.7" right="0.7" top="0.75" bottom="0.75" header="0.3" footer="0.3"/>
  <pageSetup scale="5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DC718-A677-4DBB-84B9-02C028054BB9}">
  <dimension ref="B1:AI26"/>
  <sheetViews>
    <sheetView view="pageBreakPreview" zoomScale="60" zoomScaleNormal="100" workbookViewId="0">
      <selection activeCell="L9" sqref="L9"/>
    </sheetView>
  </sheetViews>
  <sheetFormatPr defaultColWidth="9.1796875" defaultRowHeight="14" x14ac:dyDescent="0.3"/>
  <cols>
    <col min="1" max="1" width="3.26953125" style="3" customWidth="1"/>
    <col min="2" max="2" width="47.54296875" style="74" customWidth="1"/>
    <col min="3" max="3" width="23.54296875" style="74" customWidth="1"/>
    <col min="4" max="4" width="16.54296875" style="74" customWidth="1"/>
    <col min="5" max="5" width="15.453125" style="106" customWidth="1"/>
    <col min="6" max="6" width="12.81640625" style="107" customWidth="1"/>
    <col min="7" max="7" width="12.81640625" style="115" customWidth="1"/>
    <col min="8" max="8" width="13.1796875" style="107" customWidth="1"/>
    <col min="9" max="9" width="13" style="92" customWidth="1"/>
    <col min="10" max="10" width="16.81640625" style="74" customWidth="1"/>
    <col min="11" max="11" width="13.7265625" style="74" customWidth="1"/>
    <col min="12" max="13" width="11" style="74" customWidth="1"/>
    <col min="14" max="14" width="14.54296875" style="74" customWidth="1"/>
    <col min="15" max="15" width="19.453125" style="1" customWidth="1"/>
    <col min="16" max="16" width="14.453125" style="1" customWidth="1"/>
    <col min="17" max="17" width="13.54296875" style="1" customWidth="1"/>
    <col min="18" max="18" width="14" style="1" customWidth="1"/>
    <col min="19" max="35" width="9.1796875" style="1"/>
    <col min="36" max="16384" width="9.1796875" style="3"/>
  </cols>
  <sheetData>
    <row r="1" spans="2:21" x14ac:dyDescent="0.3">
      <c r="N1" s="74" t="s">
        <v>181</v>
      </c>
    </row>
    <row r="2" spans="2:21" ht="48" customHeight="1" x14ac:dyDescent="0.3">
      <c r="B2" s="55" t="s">
        <v>127</v>
      </c>
      <c r="C2" s="55"/>
      <c r="D2" s="55"/>
      <c r="E2" s="55"/>
      <c r="F2" s="312" t="s">
        <v>128</v>
      </c>
      <c r="G2" s="312"/>
      <c r="H2" s="69" t="s">
        <v>129</v>
      </c>
      <c r="I2" s="69" t="s">
        <v>159</v>
      </c>
      <c r="J2" s="69" t="s">
        <v>160</v>
      </c>
      <c r="K2" s="55"/>
      <c r="L2" s="55"/>
      <c r="M2" s="55"/>
      <c r="N2" s="55"/>
    </row>
    <row r="3" spans="2:21" ht="66.75" customHeight="1" x14ac:dyDescent="0.3">
      <c r="B3" s="55"/>
      <c r="C3" s="55"/>
      <c r="D3" s="55"/>
      <c r="E3" s="55"/>
      <c r="F3" s="313" t="s">
        <v>127</v>
      </c>
      <c r="G3" s="313"/>
      <c r="H3" s="70">
        <v>6</v>
      </c>
      <c r="I3" s="70">
        <f>H3</f>
        <v>6</v>
      </c>
      <c r="J3" s="70">
        <v>5</v>
      </c>
      <c r="K3" s="55"/>
      <c r="L3" s="55"/>
      <c r="M3" s="55"/>
      <c r="N3" s="71"/>
    </row>
    <row r="4" spans="2:21" x14ac:dyDescent="0.3">
      <c r="B4" s="55"/>
      <c r="C4" s="55"/>
      <c r="D4" s="55"/>
      <c r="E4" s="55"/>
      <c r="F4" s="319" t="s">
        <v>130</v>
      </c>
      <c r="G4" s="319"/>
      <c r="H4" s="72" t="s">
        <v>131</v>
      </c>
      <c r="I4" s="72">
        <v>6</v>
      </c>
      <c r="J4" s="72">
        <v>5</v>
      </c>
      <c r="K4" s="73"/>
      <c r="L4" s="55"/>
      <c r="M4" s="55"/>
      <c r="N4" s="55"/>
    </row>
    <row r="5" spans="2:21" ht="15" customHeight="1" x14ac:dyDescent="0.3">
      <c r="B5" s="55"/>
      <c r="C5" s="55"/>
      <c r="D5" s="55"/>
      <c r="E5" s="74"/>
      <c r="F5" s="75"/>
      <c r="G5" s="75"/>
      <c r="H5" s="76"/>
      <c r="I5" s="55"/>
      <c r="J5" s="77"/>
      <c r="K5" s="55"/>
      <c r="L5" s="55"/>
      <c r="M5" s="55"/>
      <c r="N5" s="55"/>
    </row>
    <row r="6" spans="2:21" ht="15" customHeight="1" x14ac:dyDescent="0.3">
      <c r="B6" s="314"/>
      <c r="C6" s="315" t="s">
        <v>43</v>
      </c>
      <c r="D6" s="315" t="s">
        <v>44</v>
      </c>
      <c r="E6" s="317"/>
      <c r="F6" s="317"/>
      <c r="G6" s="318"/>
      <c r="H6" s="303"/>
      <c r="I6" s="303"/>
      <c r="J6" s="303"/>
      <c r="K6" s="304"/>
      <c r="L6" s="304"/>
      <c r="M6" s="304"/>
      <c r="N6" s="55"/>
    </row>
    <row r="7" spans="2:21" s="1" customFormat="1" ht="44.25" customHeight="1" x14ac:dyDescent="0.3">
      <c r="B7" s="314"/>
      <c r="C7" s="316"/>
      <c r="D7" s="316"/>
      <c r="E7" s="79" t="s">
        <v>45</v>
      </c>
      <c r="F7" s="79" t="s">
        <v>132</v>
      </c>
      <c r="G7" s="79" t="s">
        <v>46</v>
      </c>
      <c r="H7" s="80"/>
      <c r="I7" s="80"/>
      <c r="J7" s="80"/>
      <c r="K7" s="80"/>
      <c r="L7" s="80"/>
      <c r="M7" s="80"/>
      <c r="N7" s="55"/>
    </row>
    <row r="8" spans="2:21" s="1" customFormat="1" x14ac:dyDescent="0.3">
      <c r="B8" s="81" t="s">
        <v>133</v>
      </c>
      <c r="C8" s="82">
        <v>1</v>
      </c>
      <c r="D8" s="83">
        <v>1</v>
      </c>
      <c r="E8" s="84">
        <f>C8*9600*12</f>
        <v>115200</v>
      </c>
      <c r="F8" s="85">
        <f>H3*365*0.75</f>
        <v>1642.5</v>
      </c>
      <c r="G8" s="86">
        <f>ROUND(E8/F8,0)</f>
        <v>70</v>
      </c>
      <c r="H8" s="76"/>
      <c r="I8" s="78"/>
      <c r="J8" s="87"/>
      <c r="K8" s="76"/>
      <c r="L8" s="55"/>
      <c r="M8" s="88"/>
      <c r="N8" s="55"/>
      <c r="R8" s="10"/>
      <c r="S8" s="10"/>
      <c r="T8" s="10"/>
      <c r="U8" s="10"/>
    </row>
    <row r="9" spans="2:21" s="1" customFormat="1" ht="28" x14ac:dyDescent="0.3">
      <c r="B9" s="81" t="s">
        <v>165</v>
      </c>
      <c r="C9" s="82">
        <v>1</v>
      </c>
      <c r="D9" s="89">
        <v>1</v>
      </c>
      <c r="E9" s="84">
        <f>C9*9600*12</f>
        <v>115200</v>
      </c>
      <c r="F9" s="85">
        <f>I3*365*0.75</f>
        <v>1642.5</v>
      </c>
      <c r="G9" s="86">
        <f>ROUND(E9/F9,0)</f>
        <v>70</v>
      </c>
      <c r="H9" s="76"/>
      <c r="I9" s="78"/>
      <c r="J9" s="88"/>
      <c r="K9" s="76"/>
      <c r="L9" s="55"/>
      <c r="M9" s="88"/>
      <c r="N9" s="55"/>
    </row>
    <row r="10" spans="2:21" s="1" customFormat="1" ht="30.75" customHeight="1" x14ac:dyDescent="0.3">
      <c r="B10" s="81" t="s">
        <v>164</v>
      </c>
      <c r="C10" s="82">
        <v>1</v>
      </c>
      <c r="D10" s="89">
        <v>1</v>
      </c>
      <c r="E10" s="84">
        <f>C10*9600*12</f>
        <v>115200</v>
      </c>
      <c r="F10" s="85">
        <f>J3*365*0.75</f>
        <v>1368.75</v>
      </c>
      <c r="G10" s="86">
        <f>ROUND(E10/F10,0)</f>
        <v>84</v>
      </c>
      <c r="H10" s="76"/>
      <c r="I10" s="78"/>
      <c r="J10" s="88"/>
      <c r="K10" s="76"/>
      <c r="L10" s="55"/>
      <c r="M10" s="88"/>
      <c r="N10" s="55"/>
    </row>
    <row r="11" spans="2:21" s="1" customFormat="1" ht="16.5" customHeight="1" x14ac:dyDescent="0.3">
      <c r="B11" s="81" t="s">
        <v>166</v>
      </c>
      <c r="C11" s="82">
        <v>1</v>
      </c>
      <c r="D11" s="89">
        <v>1</v>
      </c>
      <c r="E11" s="84">
        <f t="shared" ref="E11:E12" si="0">C11*9600*12</f>
        <v>115200</v>
      </c>
      <c r="F11" s="85">
        <f>I4*365*0.75</f>
        <v>1642.5</v>
      </c>
      <c r="G11" s="86">
        <f t="shared" ref="G11:G12" si="1">ROUND(E11/F11,0)</f>
        <v>70</v>
      </c>
      <c r="H11" s="76"/>
      <c r="I11" s="78"/>
      <c r="J11" s="88"/>
      <c r="K11" s="76"/>
      <c r="L11" s="55"/>
      <c r="M11" s="88"/>
      <c r="N11" s="55"/>
    </row>
    <row r="12" spans="2:21" s="1" customFormat="1" ht="30" customHeight="1" x14ac:dyDescent="0.3">
      <c r="B12" s="81" t="s">
        <v>167</v>
      </c>
      <c r="C12" s="82">
        <v>1</v>
      </c>
      <c r="D12" s="89">
        <v>1</v>
      </c>
      <c r="E12" s="84">
        <f t="shared" si="0"/>
        <v>115200</v>
      </c>
      <c r="F12" s="85">
        <f>J4*365*0.75</f>
        <v>1368.75</v>
      </c>
      <c r="G12" s="86">
        <f t="shared" si="1"/>
        <v>84</v>
      </c>
      <c r="H12" s="76"/>
      <c r="I12" s="78"/>
      <c r="J12" s="88"/>
      <c r="K12" s="76"/>
      <c r="L12" s="55"/>
      <c r="M12" s="88"/>
      <c r="N12" s="55"/>
    </row>
    <row r="13" spans="2:21" s="1" customFormat="1" ht="15" customHeight="1" x14ac:dyDescent="0.3">
      <c r="B13" s="90"/>
      <c r="C13" s="91"/>
      <c r="D13" s="92"/>
      <c r="E13" s="55"/>
      <c r="F13" s="55"/>
      <c r="G13" s="52"/>
      <c r="H13" s="55"/>
      <c r="I13" s="55"/>
      <c r="J13" s="93"/>
      <c r="K13" s="94"/>
      <c r="L13" s="55"/>
      <c r="M13" s="55"/>
      <c r="N13" s="55"/>
    </row>
    <row r="14" spans="2:21" s="1" customFormat="1" ht="15" customHeight="1" x14ac:dyDescent="0.3">
      <c r="B14" s="81" t="s">
        <v>161</v>
      </c>
      <c r="C14" s="95">
        <v>2083</v>
      </c>
      <c r="D14" s="95">
        <v>1303</v>
      </c>
      <c r="E14" s="95">
        <v>865</v>
      </c>
      <c r="F14" s="55"/>
      <c r="G14" s="55"/>
      <c r="H14" s="55"/>
      <c r="I14" s="55"/>
      <c r="J14" s="55"/>
      <c r="K14" s="55"/>
      <c r="L14" s="55"/>
      <c r="M14" s="55"/>
      <c r="N14" s="55"/>
    </row>
    <row r="15" spans="2:21" s="1" customFormat="1" ht="15" customHeight="1" x14ac:dyDescent="0.3">
      <c r="B15" s="96" t="s">
        <v>162</v>
      </c>
      <c r="C15" s="97">
        <f>ROUND(C14/9600,4)</f>
        <v>0.217</v>
      </c>
      <c r="D15" s="97">
        <f>ROUND(D14/9600,4)</f>
        <v>0.13569999999999999</v>
      </c>
      <c r="E15" s="97">
        <f>ROUND(E14/9600,4)</f>
        <v>9.01E-2</v>
      </c>
      <c r="F15" s="55"/>
      <c r="G15" s="55"/>
      <c r="H15" s="55"/>
      <c r="I15" s="55"/>
      <c r="J15" s="55"/>
      <c r="K15" s="55"/>
      <c r="L15" s="55"/>
      <c r="M15" s="55"/>
      <c r="N15" s="55"/>
    </row>
    <row r="16" spans="2:21" s="1" customFormat="1" ht="15" customHeight="1" x14ac:dyDescent="0.3">
      <c r="B16" s="98" t="s">
        <v>163</v>
      </c>
      <c r="C16" s="99"/>
      <c r="D16" s="99">
        <f>'Darba algas'!BE11</f>
        <v>0.17519999999999999</v>
      </c>
      <c r="E16" s="99">
        <f>'Darba algas'!BE14</f>
        <v>0.1149</v>
      </c>
      <c r="F16" s="55"/>
      <c r="G16" s="55"/>
      <c r="H16" s="55"/>
      <c r="I16" s="55"/>
      <c r="J16" s="55"/>
      <c r="K16" s="55"/>
      <c r="L16" s="55"/>
      <c r="M16" s="55"/>
      <c r="N16" s="55"/>
    </row>
    <row r="17" spans="2:18" s="1" customFormat="1" ht="38.25" customHeight="1" x14ac:dyDescent="0.3">
      <c r="B17" s="100" t="s">
        <v>135</v>
      </c>
      <c r="C17" s="101">
        <f>'Darba algas'!BE7</f>
        <v>0.2319</v>
      </c>
      <c r="D17" s="101">
        <f>'Darba algas'!BE10</f>
        <v>0.14280000000000001</v>
      </c>
      <c r="E17" s="101">
        <f>'Darba algas'!BE13</f>
        <v>9.3600000000000003E-2</v>
      </c>
      <c r="F17" s="55"/>
      <c r="G17" s="102">
        <v>0.2359</v>
      </c>
      <c r="H17" s="305" t="s">
        <v>48</v>
      </c>
      <c r="I17" s="306"/>
      <c r="J17" s="103">
        <v>0.37709999999999999</v>
      </c>
      <c r="K17" s="103">
        <v>0.14349999999999999</v>
      </c>
      <c r="L17" s="103">
        <v>3.49E-2</v>
      </c>
      <c r="M17" s="93"/>
      <c r="N17" s="104" t="s">
        <v>49</v>
      </c>
      <c r="Q17" s="10"/>
    </row>
    <row r="18" spans="2:18" s="1" customFormat="1" ht="12.75" customHeight="1" x14ac:dyDescent="0.3">
      <c r="B18" s="307"/>
      <c r="C18" s="309" t="s">
        <v>50</v>
      </c>
      <c r="D18" s="311" t="s">
        <v>168</v>
      </c>
      <c r="E18" s="309" t="s">
        <v>169</v>
      </c>
      <c r="F18" s="69" t="s">
        <v>8</v>
      </c>
      <c r="G18" s="69" t="s">
        <v>9</v>
      </c>
      <c r="H18" s="69" t="s">
        <v>10</v>
      </c>
      <c r="I18" s="69" t="s">
        <v>11</v>
      </c>
      <c r="J18" s="69" t="s">
        <v>12</v>
      </c>
      <c r="K18" s="69" t="s">
        <v>13</v>
      </c>
      <c r="L18" s="69" t="s">
        <v>14</v>
      </c>
      <c r="M18" s="69" t="s">
        <v>51</v>
      </c>
      <c r="N18" s="69" t="s">
        <v>52</v>
      </c>
      <c r="Q18" s="10"/>
    </row>
    <row r="19" spans="2:18" s="1" customFormat="1" ht="41.25" customHeight="1" x14ac:dyDescent="0.3">
      <c r="B19" s="308"/>
      <c r="C19" s="310"/>
      <c r="D19" s="310"/>
      <c r="E19" s="310"/>
      <c r="F19" s="69" t="s">
        <v>1</v>
      </c>
      <c r="G19" s="69" t="s">
        <v>2</v>
      </c>
      <c r="H19" s="69" t="s">
        <v>3</v>
      </c>
      <c r="I19" s="69" t="s">
        <v>4</v>
      </c>
      <c r="J19" s="69" t="s">
        <v>5</v>
      </c>
      <c r="K19" s="69" t="s">
        <v>6</v>
      </c>
      <c r="L19" s="105" t="s">
        <v>53</v>
      </c>
      <c r="M19" s="69" t="s">
        <v>7</v>
      </c>
      <c r="N19" s="69"/>
    </row>
    <row r="20" spans="2:18" x14ac:dyDescent="0.3">
      <c r="F20" s="107">
        <f t="shared" ref="F20:M20" si="2">SUM(F21:F24)</f>
        <v>66.649999999999991</v>
      </c>
      <c r="G20" s="107">
        <f t="shared" si="2"/>
        <v>15.719999999999999</v>
      </c>
      <c r="H20" s="107">
        <f t="shared" si="2"/>
        <v>10.84</v>
      </c>
      <c r="I20" s="107">
        <f t="shared" si="2"/>
        <v>7</v>
      </c>
      <c r="J20" s="107">
        <f t="shared" si="2"/>
        <v>25.139999999999997</v>
      </c>
      <c r="K20" s="107">
        <f t="shared" si="2"/>
        <v>9.5699999999999985</v>
      </c>
      <c r="L20" s="107">
        <f t="shared" si="2"/>
        <v>2.33</v>
      </c>
      <c r="M20" s="107">
        <f t="shared" si="2"/>
        <v>1.53</v>
      </c>
      <c r="P20" s="7"/>
      <c r="Q20" s="18"/>
      <c r="R20" s="7"/>
    </row>
    <row r="21" spans="2:18" s="1" customFormat="1" ht="15.75" customHeight="1" x14ac:dyDescent="0.3">
      <c r="B21" s="108" t="s">
        <v>136</v>
      </c>
      <c r="C21" s="109">
        <f>G8</f>
        <v>70</v>
      </c>
      <c r="D21" s="109">
        <f>G9</f>
        <v>70</v>
      </c>
      <c r="E21" s="109">
        <f>G10</f>
        <v>84</v>
      </c>
      <c r="F21" s="110">
        <f>ROUND(C21*C$17+D21*D$17+E21*E$17,2)</f>
        <v>34.090000000000003</v>
      </c>
      <c r="G21" s="110">
        <f>ROUND(F21*G$17,2)</f>
        <v>8.0399999999999991</v>
      </c>
      <c r="H21" s="111">
        <v>8.25</v>
      </c>
      <c r="I21" s="112">
        <v>7</v>
      </c>
      <c r="J21" s="113">
        <f>ROUND(F21*$J$17,2)</f>
        <v>12.86</v>
      </c>
      <c r="K21" s="113">
        <f>ROUND(F21*$K$17,2)</f>
        <v>4.8899999999999997</v>
      </c>
      <c r="L21" s="113">
        <f>ROUND(F21*$L$17,2)</f>
        <v>1.19</v>
      </c>
      <c r="M21" s="114">
        <v>0.96</v>
      </c>
      <c r="N21" s="46">
        <f>ROUND(SUM(F21:M21),2)</f>
        <v>77.28</v>
      </c>
      <c r="O21" s="10"/>
      <c r="P21" s="10"/>
      <c r="Q21" s="10"/>
      <c r="R21" s="10"/>
    </row>
    <row r="22" spans="2:18" s="1" customFormat="1" ht="15.75" customHeight="1" x14ac:dyDescent="0.3">
      <c r="B22" s="108" t="s">
        <v>137</v>
      </c>
      <c r="C22" s="109">
        <f>C21/2</f>
        <v>35</v>
      </c>
      <c r="D22" s="109"/>
      <c r="E22" s="109"/>
      <c r="F22" s="110">
        <f>ROUND(C22*C$17+D22*D$17+E22*E$17,2)</f>
        <v>8.1199999999999992</v>
      </c>
      <c r="G22" s="110">
        <f>ROUND(F22*G$17,2)</f>
        <v>1.92</v>
      </c>
      <c r="H22" s="111"/>
      <c r="I22" s="112"/>
      <c r="J22" s="113">
        <f>ROUND(F22*$J$17,2)</f>
        <v>3.06</v>
      </c>
      <c r="K22" s="113">
        <f>ROUND(F22*$K$17,2)</f>
        <v>1.17</v>
      </c>
      <c r="L22" s="113">
        <f>ROUND(F22*$L$17,2)</f>
        <v>0.28000000000000003</v>
      </c>
      <c r="M22" s="114">
        <v>0</v>
      </c>
      <c r="N22" s="46">
        <f>ROUND(SUM(F22:M22),2)</f>
        <v>14.55</v>
      </c>
      <c r="O22" s="10"/>
      <c r="P22" s="10"/>
      <c r="Q22" s="10"/>
      <c r="R22" s="10"/>
    </row>
    <row r="23" spans="2:18" s="1" customFormat="1" ht="15.75" customHeight="1" x14ac:dyDescent="0.3">
      <c r="B23" s="108" t="s">
        <v>130</v>
      </c>
      <c r="C23" s="109"/>
      <c r="D23" s="109">
        <f>G11</f>
        <v>70</v>
      </c>
      <c r="E23" s="109">
        <f>G12</f>
        <v>84</v>
      </c>
      <c r="F23" s="110">
        <f>ROUND(C23*C$16+D23*D$16+E23*E$16,2)</f>
        <v>21.92</v>
      </c>
      <c r="G23" s="110">
        <f>ROUND(F23*G$17,2)</f>
        <v>5.17</v>
      </c>
      <c r="H23" s="111"/>
      <c r="I23" s="112"/>
      <c r="J23" s="113">
        <f>ROUND(F23*$J$17,2)</f>
        <v>8.27</v>
      </c>
      <c r="K23" s="113">
        <f>ROUND(F23*$K$17,2)</f>
        <v>3.15</v>
      </c>
      <c r="L23" s="113">
        <f>ROUND(F23*$L$17,2)</f>
        <v>0.77</v>
      </c>
      <c r="M23" s="114">
        <v>0</v>
      </c>
      <c r="N23" s="46">
        <f>ROUND(SUM(F23:M23),2)</f>
        <v>39.28</v>
      </c>
      <c r="O23" s="10"/>
      <c r="P23" s="10"/>
      <c r="Q23" s="10"/>
      <c r="R23" s="10"/>
    </row>
    <row r="24" spans="2:18" s="1" customFormat="1" ht="15.75" customHeight="1" x14ac:dyDescent="0.3">
      <c r="B24" s="108" t="s">
        <v>138</v>
      </c>
      <c r="C24" s="109">
        <v>6</v>
      </c>
      <c r="D24" s="109">
        <v>9</v>
      </c>
      <c r="E24" s="109">
        <v>0</v>
      </c>
      <c r="F24" s="110">
        <f>ROUND(C24*C$15+D24*D$15+E24*E$15,2)</f>
        <v>2.52</v>
      </c>
      <c r="G24" s="110">
        <f>ROUND(F24*G$17,2)</f>
        <v>0.59</v>
      </c>
      <c r="H24" s="111">
        <v>2.59</v>
      </c>
      <c r="I24" s="112"/>
      <c r="J24" s="113">
        <f>ROUND(F24*$J$17,2)</f>
        <v>0.95</v>
      </c>
      <c r="K24" s="113">
        <f>ROUND(F24*$K$17,2)</f>
        <v>0.36</v>
      </c>
      <c r="L24" s="113">
        <f>ROUND(F24*$L$17,2)</f>
        <v>0.09</v>
      </c>
      <c r="M24" s="114">
        <f>0.66-L24</f>
        <v>0.57000000000000006</v>
      </c>
      <c r="N24" s="46">
        <f>ROUND(SUM(F24:M24),2)</f>
        <v>7.67</v>
      </c>
      <c r="O24" s="10"/>
      <c r="P24" s="10"/>
      <c r="Q24" s="10"/>
      <c r="R24" s="10"/>
    </row>
    <row r="25" spans="2:18" x14ac:dyDescent="0.3">
      <c r="L25" s="74" t="s">
        <v>139</v>
      </c>
      <c r="N25" s="46">
        <v>1.65</v>
      </c>
    </row>
    <row r="26" spans="2:18" ht="28" x14ac:dyDescent="0.3">
      <c r="M26" s="116" t="s">
        <v>140</v>
      </c>
      <c r="N26" s="117">
        <f>SUM(N21:N25)</f>
        <v>140.43</v>
      </c>
    </row>
  </sheetData>
  <mergeCells count="14">
    <mergeCell ref="F2:G2"/>
    <mergeCell ref="F3:G3"/>
    <mergeCell ref="B6:B7"/>
    <mergeCell ref="C6:C7"/>
    <mergeCell ref="D6:D7"/>
    <mergeCell ref="E6:G6"/>
    <mergeCell ref="F4:G4"/>
    <mergeCell ref="H6:J6"/>
    <mergeCell ref="K6:M6"/>
    <mergeCell ref="H17:I17"/>
    <mergeCell ref="B18:B19"/>
    <mergeCell ref="C18:C19"/>
    <mergeCell ref="D18:D19"/>
    <mergeCell ref="E18:E19"/>
  </mergeCells>
  <pageMargins left="0.7" right="0.7" top="0.75" bottom="0.75" header="0.3" footer="0.3"/>
  <pageSetup paperSize="9" scale="38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E9E99-822F-4A26-8BC2-33CF01468517}">
  <dimension ref="B1:AI26"/>
  <sheetViews>
    <sheetView view="pageBreakPreview" topLeftCell="B1" zoomScale="60" zoomScaleNormal="100" workbookViewId="0">
      <selection activeCell="B1" sqref="B1:N1048576"/>
    </sheetView>
  </sheetViews>
  <sheetFormatPr defaultColWidth="9.1796875" defaultRowHeight="14" x14ac:dyDescent="0.3"/>
  <cols>
    <col min="1" max="1" width="3.26953125" style="3" customWidth="1"/>
    <col min="2" max="2" width="41.81640625" style="74" customWidth="1"/>
    <col min="3" max="3" width="12" style="74" customWidth="1"/>
    <col min="4" max="4" width="16.54296875" style="74" customWidth="1"/>
    <col min="5" max="5" width="15.453125" style="106" customWidth="1"/>
    <col min="6" max="6" width="12.81640625" style="107" customWidth="1"/>
    <col min="7" max="7" width="12.81640625" style="115" customWidth="1"/>
    <col min="8" max="8" width="13.1796875" style="107" customWidth="1"/>
    <col min="9" max="9" width="13" style="92" customWidth="1"/>
    <col min="10" max="10" width="16.81640625" style="74" customWidth="1"/>
    <col min="11" max="11" width="13.7265625" style="74" customWidth="1"/>
    <col min="12" max="13" width="11" style="74" customWidth="1"/>
    <col min="14" max="14" width="14.54296875" style="74" customWidth="1"/>
    <col min="15" max="15" width="19.453125" style="1" customWidth="1"/>
    <col min="16" max="16" width="14.453125" style="1" customWidth="1"/>
    <col min="17" max="17" width="13.54296875" style="1" customWidth="1"/>
    <col min="18" max="18" width="14" style="1" customWidth="1"/>
    <col min="19" max="35" width="9.1796875" style="1"/>
    <col min="36" max="16384" width="9.1796875" style="3"/>
  </cols>
  <sheetData>
    <row r="1" spans="2:21" x14ac:dyDescent="0.3">
      <c r="N1" s="74" t="s">
        <v>182</v>
      </c>
    </row>
    <row r="2" spans="2:21" ht="48" customHeight="1" x14ac:dyDescent="0.3">
      <c r="B2" s="55" t="s">
        <v>141</v>
      </c>
      <c r="C2" s="55"/>
      <c r="D2" s="55"/>
      <c r="E2" s="55"/>
      <c r="F2" s="312" t="s">
        <v>128</v>
      </c>
      <c r="G2" s="312"/>
      <c r="H2" s="69" t="s">
        <v>142</v>
      </c>
      <c r="I2" s="69" t="s">
        <v>159</v>
      </c>
      <c r="J2" s="69" t="s">
        <v>160</v>
      </c>
      <c r="K2" s="55"/>
      <c r="L2" s="55"/>
      <c r="M2" s="55"/>
      <c r="N2" s="55"/>
    </row>
    <row r="3" spans="2:21" ht="66.75" customHeight="1" x14ac:dyDescent="0.3">
      <c r="B3" s="55"/>
      <c r="C3" s="55"/>
      <c r="D3" s="55"/>
      <c r="E3" s="55"/>
      <c r="F3" s="320" t="s">
        <v>141</v>
      </c>
      <c r="G3" s="320"/>
      <c r="H3" s="118">
        <v>6</v>
      </c>
      <c r="I3" s="118">
        <f>H3</f>
        <v>6</v>
      </c>
      <c r="J3" s="118">
        <v>5</v>
      </c>
      <c r="K3" s="55"/>
      <c r="L3" s="55"/>
      <c r="M3" s="55"/>
      <c r="N3" s="71"/>
    </row>
    <row r="4" spans="2:21" x14ac:dyDescent="0.3">
      <c r="B4" s="55"/>
      <c r="C4" s="55"/>
      <c r="D4" s="55"/>
      <c r="E4" s="55"/>
      <c r="F4" s="319" t="s">
        <v>130</v>
      </c>
      <c r="G4" s="319"/>
      <c r="H4" s="72" t="s">
        <v>131</v>
      </c>
      <c r="I4" s="72">
        <f>I3</f>
        <v>6</v>
      </c>
      <c r="J4" s="72">
        <f>J3</f>
        <v>5</v>
      </c>
      <c r="K4" s="73"/>
      <c r="L4" s="55"/>
      <c r="M4" s="55"/>
      <c r="N4" s="55"/>
    </row>
    <row r="5" spans="2:21" ht="15" customHeight="1" x14ac:dyDescent="0.3">
      <c r="B5" s="55"/>
      <c r="C5" s="55"/>
      <c r="D5" s="55"/>
      <c r="E5" s="74"/>
      <c r="F5" s="75"/>
      <c r="G5" s="75"/>
      <c r="H5" s="76"/>
      <c r="I5" s="55"/>
      <c r="J5" s="77"/>
      <c r="K5" s="55"/>
      <c r="L5" s="55"/>
      <c r="M5" s="55"/>
      <c r="N5" s="55"/>
    </row>
    <row r="6" spans="2:21" ht="15" customHeight="1" x14ac:dyDescent="0.3">
      <c r="B6" s="314"/>
      <c r="C6" s="315" t="s">
        <v>43</v>
      </c>
      <c r="D6" s="315" t="s">
        <v>44</v>
      </c>
      <c r="E6" s="317"/>
      <c r="F6" s="317"/>
      <c r="G6" s="318"/>
      <c r="H6" s="303"/>
      <c r="I6" s="303"/>
      <c r="J6" s="303"/>
      <c r="K6" s="304"/>
      <c r="L6" s="304"/>
      <c r="M6" s="304"/>
      <c r="N6" s="55"/>
    </row>
    <row r="7" spans="2:21" s="1" customFormat="1" ht="12.75" customHeight="1" x14ac:dyDescent="0.3">
      <c r="B7" s="314"/>
      <c r="C7" s="316"/>
      <c r="D7" s="316"/>
      <c r="E7" s="79" t="s">
        <v>45</v>
      </c>
      <c r="F7" s="79" t="s">
        <v>132</v>
      </c>
      <c r="G7" s="119" t="s">
        <v>46</v>
      </c>
      <c r="H7" s="80"/>
      <c r="I7" s="80"/>
      <c r="J7" s="80"/>
      <c r="K7" s="80"/>
      <c r="L7" s="80"/>
      <c r="M7" s="80"/>
      <c r="N7" s="55"/>
    </row>
    <row r="8" spans="2:21" s="1" customFormat="1" x14ac:dyDescent="0.3">
      <c r="B8" s="81" t="s">
        <v>133</v>
      </c>
      <c r="C8" s="82">
        <v>1</v>
      </c>
      <c r="D8" s="83">
        <v>1</v>
      </c>
      <c r="E8" s="84">
        <f>C8*9600*12</f>
        <v>115200</v>
      </c>
      <c r="F8" s="85">
        <f>H3*365*0.75</f>
        <v>1642.5</v>
      </c>
      <c r="G8" s="120">
        <f>ROUND(E8/F8,0)</f>
        <v>70</v>
      </c>
      <c r="H8" s="76"/>
      <c r="I8" s="78"/>
      <c r="J8" s="87"/>
      <c r="K8" s="76"/>
      <c r="L8" s="55"/>
      <c r="M8" s="88"/>
      <c r="N8" s="55"/>
      <c r="R8" s="10"/>
      <c r="S8" s="10"/>
      <c r="T8" s="10"/>
      <c r="U8" s="10"/>
    </row>
    <row r="9" spans="2:21" s="1" customFormat="1" ht="28" x14ac:dyDescent="0.3">
      <c r="B9" s="81" t="s">
        <v>165</v>
      </c>
      <c r="C9" s="82">
        <v>1</v>
      </c>
      <c r="D9" s="89">
        <v>1</v>
      </c>
      <c r="E9" s="84">
        <f>C9*9600*12</f>
        <v>115200</v>
      </c>
      <c r="F9" s="85">
        <f>I3*365*0.75</f>
        <v>1642.5</v>
      </c>
      <c r="G9" s="120">
        <f>ROUND(E9/F9,0)</f>
        <v>70</v>
      </c>
      <c r="H9" s="76"/>
      <c r="I9" s="78"/>
      <c r="J9" s="88"/>
      <c r="K9" s="76"/>
      <c r="L9" s="55"/>
      <c r="M9" s="88"/>
      <c r="N9" s="55"/>
    </row>
    <row r="10" spans="2:21" s="1" customFormat="1" ht="27" customHeight="1" x14ac:dyDescent="0.3">
      <c r="B10" s="81" t="s">
        <v>164</v>
      </c>
      <c r="C10" s="82">
        <v>1</v>
      </c>
      <c r="D10" s="89">
        <v>1</v>
      </c>
      <c r="E10" s="84">
        <f>C10*9600*12</f>
        <v>115200</v>
      </c>
      <c r="F10" s="85">
        <f>J3*365*0.75</f>
        <v>1368.75</v>
      </c>
      <c r="G10" s="120">
        <f>ROUND(E10/F10,0)</f>
        <v>84</v>
      </c>
      <c r="H10" s="76"/>
      <c r="I10" s="78"/>
      <c r="J10" s="88"/>
      <c r="K10" s="76"/>
      <c r="L10" s="55"/>
      <c r="M10" s="88"/>
      <c r="N10" s="55"/>
    </row>
    <row r="11" spans="2:21" s="1" customFormat="1" ht="16.5" customHeight="1" x14ac:dyDescent="0.3">
      <c r="B11" s="81" t="s">
        <v>166</v>
      </c>
      <c r="C11" s="82">
        <v>1</v>
      </c>
      <c r="D11" s="89">
        <v>1</v>
      </c>
      <c r="E11" s="84">
        <f t="shared" ref="E11:E12" si="0">C11*9600*12</f>
        <v>115200</v>
      </c>
      <c r="F11" s="85">
        <f>I4*365*0.75</f>
        <v>1642.5</v>
      </c>
      <c r="G11" s="120">
        <f t="shared" ref="G11:G12" si="1">ROUND(E11/F11,0)</f>
        <v>70</v>
      </c>
      <c r="H11" s="76"/>
      <c r="I11" s="78"/>
      <c r="J11" s="88"/>
      <c r="K11" s="76"/>
      <c r="L11" s="55"/>
      <c r="M11" s="88"/>
      <c r="N11" s="55"/>
    </row>
    <row r="12" spans="2:21" s="1" customFormat="1" ht="27" customHeight="1" x14ac:dyDescent="0.3">
      <c r="B12" s="81" t="s">
        <v>167</v>
      </c>
      <c r="C12" s="82">
        <v>1</v>
      </c>
      <c r="D12" s="89">
        <v>1</v>
      </c>
      <c r="E12" s="84">
        <f t="shared" si="0"/>
        <v>115200</v>
      </c>
      <c r="F12" s="85">
        <f>J4*365*0.75</f>
        <v>1368.75</v>
      </c>
      <c r="G12" s="120">
        <f t="shared" si="1"/>
        <v>84</v>
      </c>
      <c r="H12" s="76"/>
      <c r="I12" s="78"/>
      <c r="J12" s="88"/>
      <c r="K12" s="76"/>
      <c r="L12" s="55"/>
      <c r="M12" s="88"/>
      <c r="N12" s="55"/>
    </row>
    <row r="13" spans="2:21" s="1" customFormat="1" ht="15" customHeight="1" x14ac:dyDescent="0.3">
      <c r="B13" s="90"/>
      <c r="C13" s="91"/>
      <c r="D13" s="92"/>
      <c r="E13" s="55"/>
      <c r="F13" s="55"/>
      <c r="G13" s="52"/>
      <c r="H13" s="55"/>
      <c r="I13" s="55"/>
      <c r="J13" s="93"/>
      <c r="K13" s="94"/>
      <c r="L13" s="55"/>
      <c r="M13" s="55"/>
      <c r="N13" s="55"/>
    </row>
    <row r="14" spans="2:21" s="1" customFormat="1" ht="15" customHeight="1" x14ac:dyDescent="0.3">
      <c r="B14" s="81" t="s">
        <v>47</v>
      </c>
      <c r="C14" s="95">
        <v>2083</v>
      </c>
      <c r="D14" s="95">
        <v>1303</v>
      </c>
      <c r="E14" s="95">
        <v>865</v>
      </c>
      <c r="F14" s="55"/>
      <c r="G14" s="55"/>
      <c r="H14" s="55"/>
      <c r="I14" s="55"/>
      <c r="J14" s="55"/>
      <c r="K14" s="55"/>
      <c r="L14" s="55"/>
      <c r="M14" s="55"/>
      <c r="N14" s="55"/>
    </row>
    <row r="15" spans="2:21" s="1" customFormat="1" ht="15" customHeight="1" x14ac:dyDescent="0.3">
      <c r="B15" s="96" t="s">
        <v>134</v>
      </c>
      <c r="C15" s="97">
        <f>ROUND(C14/9600,4)</f>
        <v>0.217</v>
      </c>
      <c r="D15" s="97">
        <f>ROUND(D14/9600,4)</f>
        <v>0.13569999999999999</v>
      </c>
      <c r="E15" s="97">
        <f>ROUND(E14/9600,4)</f>
        <v>9.01E-2</v>
      </c>
      <c r="F15" s="55"/>
      <c r="G15" s="55"/>
      <c r="H15" s="55"/>
      <c r="I15" s="55"/>
      <c r="J15" s="55"/>
      <c r="K15" s="55"/>
      <c r="L15" s="55"/>
      <c r="M15" s="55"/>
      <c r="N15" s="55"/>
    </row>
    <row r="16" spans="2:21" s="1" customFormat="1" ht="15" customHeight="1" x14ac:dyDescent="0.3">
      <c r="B16" s="98" t="s">
        <v>130</v>
      </c>
      <c r="C16" s="99"/>
      <c r="D16" s="99">
        <f>'Darba algas'!BE11</f>
        <v>0.17519999999999999</v>
      </c>
      <c r="E16" s="99">
        <f>'Darba algas'!BE14</f>
        <v>0.1149</v>
      </c>
      <c r="F16" s="55"/>
      <c r="G16" s="55"/>
      <c r="H16" s="55"/>
      <c r="I16" s="55"/>
      <c r="J16" s="55"/>
      <c r="K16" s="55"/>
      <c r="L16" s="55"/>
      <c r="M16" s="55"/>
      <c r="N16" s="55"/>
    </row>
    <row r="17" spans="2:18" s="1" customFormat="1" ht="38.25" customHeight="1" x14ac:dyDescent="0.3">
      <c r="B17" s="100" t="s">
        <v>135</v>
      </c>
      <c r="C17" s="101">
        <f>'Darba algas'!BE7</f>
        <v>0.2319</v>
      </c>
      <c r="D17" s="101">
        <f>'Darba algas'!BE10</f>
        <v>0.14280000000000001</v>
      </c>
      <c r="E17" s="101">
        <f>'Darba algas'!BE13</f>
        <v>9.3600000000000003E-2</v>
      </c>
      <c r="F17" s="55"/>
      <c r="G17" s="102">
        <v>0.2359</v>
      </c>
      <c r="H17" s="305" t="s">
        <v>48</v>
      </c>
      <c r="I17" s="306"/>
      <c r="J17" s="103">
        <v>0.37709999999999999</v>
      </c>
      <c r="K17" s="103">
        <v>0.14349999999999999</v>
      </c>
      <c r="L17" s="103">
        <v>3.49E-2</v>
      </c>
      <c r="M17" s="93"/>
      <c r="N17" s="104" t="s">
        <v>49</v>
      </c>
      <c r="Q17" s="10"/>
    </row>
    <row r="18" spans="2:18" s="1" customFormat="1" ht="12.75" customHeight="1" x14ac:dyDescent="0.3">
      <c r="B18" s="307"/>
      <c r="C18" s="309" t="s">
        <v>50</v>
      </c>
      <c r="D18" s="311" t="s">
        <v>168</v>
      </c>
      <c r="E18" s="309" t="s">
        <v>169</v>
      </c>
      <c r="F18" s="69" t="s">
        <v>8</v>
      </c>
      <c r="G18" s="69" t="s">
        <v>9</v>
      </c>
      <c r="H18" s="69" t="s">
        <v>10</v>
      </c>
      <c r="I18" s="69" t="s">
        <v>11</v>
      </c>
      <c r="J18" s="69" t="s">
        <v>12</v>
      </c>
      <c r="K18" s="69" t="s">
        <v>13</v>
      </c>
      <c r="L18" s="69" t="s">
        <v>14</v>
      </c>
      <c r="M18" s="69" t="s">
        <v>51</v>
      </c>
      <c r="N18" s="69" t="s">
        <v>52</v>
      </c>
      <c r="Q18" s="10"/>
    </row>
    <row r="19" spans="2:18" s="1" customFormat="1" ht="34.5" customHeight="1" x14ac:dyDescent="0.3">
      <c r="B19" s="308"/>
      <c r="C19" s="310"/>
      <c r="D19" s="310"/>
      <c r="E19" s="310"/>
      <c r="F19" s="69" t="s">
        <v>1</v>
      </c>
      <c r="G19" s="69" t="s">
        <v>2</v>
      </c>
      <c r="H19" s="69" t="s">
        <v>3</v>
      </c>
      <c r="I19" s="69" t="s">
        <v>4</v>
      </c>
      <c r="J19" s="69" t="s">
        <v>5</v>
      </c>
      <c r="K19" s="69" t="s">
        <v>6</v>
      </c>
      <c r="L19" s="105" t="s">
        <v>53</v>
      </c>
      <c r="M19" s="69" t="s">
        <v>7</v>
      </c>
      <c r="N19" s="69"/>
    </row>
    <row r="20" spans="2:18" x14ac:dyDescent="0.3">
      <c r="F20" s="107">
        <f t="shared" ref="F20:M20" si="2">SUM(F21:F24)</f>
        <v>65.949999999999989</v>
      </c>
      <c r="G20" s="107">
        <f t="shared" si="2"/>
        <v>15.559999999999999</v>
      </c>
      <c r="H20" s="107">
        <f t="shared" si="2"/>
        <v>10.84</v>
      </c>
      <c r="I20" s="107">
        <f t="shared" si="2"/>
        <v>7</v>
      </c>
      <c r="J20" s="107">
        <f t="shared" si="2"/>
        <v>24.88</v>
      </c>
      <c r="K20" s="107">
        <f t="shared" si="2"/>
        <v>9.4699999999999989</v>
      </c>
      <c r="L20" s="107">
        <f t="shared" si="2"/>
        <v>2.3000000000000003</v>
      </c>
      <c r="M20" s="107">
        <f t="shared" si="2"/>
        <v>3.3000000000000003</v>
      </c>
      <c r="P20" s="7"/>
      <c r="Q20" s="18"/>
      <c r="R20" s="7"/>
    </row>
    <row r="21" spans="2:18" s="1" customFormat="1" ht="15.75" customHeight="1" x14ac:dyDescent="0.3">
      <c r="B21" s="108" t="s">
        <v>143</v>
      </c>
      <c r="C21" s="109">
        <f>G8</f>
        <v>70</v>
      </c>
      <c r="D21" s="109">
        <f>G9</f>
        <v>70</v>
      </c>
      <c r="E21" s="109">
        <f>G10</f>
        <v>84</v>
      </c>
      <c r="F21" s="110">
        <f>ROUND(C21*C$17+D21*D$17+E21*E$17,2)</f>
        <v>34.090000000000003</v>
      </c>
      <c r="G21" s="110">
        <f>ROUND(F21*G$17,2)</f>
        <v>8.0399999999999991</v>
      </c>
      <c r="H21" s="111">
        <v>8.25</v>
      </c>
      <c r="I21" s="112">
        <v>7</v>
      </c>
      <c r="J21" s="113">
        <f>ROUND(F21*$J$17,2)</f>
        <v>12.86</v>
      </c>
      <c r="K21" s="113">
        <f>ROUND(F21*$K$17,2)</f>
        <v>4.8899999999999997</v>
      </c>
      <c r="L21" s="113">
        <f>ROUND(F21*$L$17,2)</f>
        <v>1.19</v>
      </c>
      <c r="M21" s="114">
        <v>2.7</v>
      </c>
      <c r="N21" s="46">
        <f>ROUND(SUM(F21:M21),2)</f>
        <v>79.02</v>
      </c>
      <c r="O21" s="10"/>
      <c r="P21" s="10"/>
      <c r="Q21" s="10"/>
      <c r="R21" s="10"/>
    </row>
    <row r="22" spans="2:18" s="1" customFormat="1" ht="15.75" customHeight="1" x14ac:dyDescent="0.3">
      <c r="B22" s="108" t="s">
        <v>144</v>
      </c>
      <c r="C22" s="109">
        <f>C21/2</f>
        <v>35</v>
      </c>
      <c r="D22" s="109"/>
      <c r="E22" s="109"/>
      <c r="F22" s="110">
        <f>ROUND(C22*C$17+D22*D$17+E22*E$17,2)</f>
        <v>8.1199999999999992</v>
      </c>
      <c r="G22" s="110">
        <f>ROUND(F22*G$17,2)</f>
        <v>1.92</v>
      </c>
      <c r="H22" s="111"/>
      <c r="I22" s="112"/>
      <c r="J22" s="113">
        <f>ROUND(F22*$J$17,2)</f>
        <v>3.06</v>
      </c>
      <c r="K22" s="113">
        <f>ROUND(F22*$K$17,2)</f>
        <v>1.17</v>
      </c>
      <c r="L22" s="113">
        <f>ROUND(F22*$L$17,2)</f>
        <v>0.28000000000000003</v>
      </c>
      <c r="M22" s="114">
        <v>0</v>
      </c>
      <c r="N22" s="46">
        <f>ROUND(SUM(F22:M22),2)</f>
        <v>14.55</v>
      </c>
      <c r="O22" s="10"/>
      <c r="P22" s="10"/>
      <c r="Q22" s="10"/>
      <c r="R22" s="10"/>
    </row>
    <row r="23" spans="2:18" s="1" customFormat="1" ht="15.75" customHeight="1" x14ac:dyDescent="0.3">
      <c r="B23" s="108" t="s">
        <v>130</v>
      </c>
      <c r="C23" s="109"/>
      <c r="D23" s="109">
        <f>G11</f>
        <v>70</v>
      </c>
      <c r="E23" s="109">
        <f>G12</f>
        <v>84</v>
      </c>
      <c r="F23" s="110">
        <f>ROUND(C23*C$16+D23*D$16+E23*E$16,2)</f>
        <v>21.92</v>
      </c>
      <c r="G23" s="110">
        <f>ROUND(F23*G$17,2)</f>
        <v>5.17</v>
      </c>
      <c r="H23" s="111"/>
      <c r="I23" s="112"/>
      <c r="J23" s="113">
        <f>ROUND(F23*$J$17,2)</f>
        <v>8.27</v>
      </c>
      <c r="K23" s="113">
        <f>ROUND(F23*$K$17,2)</f>
        <v>3.15</v>
      </c>
      <c r="L23" s="113">
        <f>ROUND(F23*$L$17,2)</f>
        <v>0.77</v>
      </c>
      <c r="M23" s="114">
        <v>0</v>
      </c>
      <c r="N23" s="46">
        <f>ROUND(SUM(F23:M23),2)</f>
        <v>39.28</v>
      </c>
      <c r="O23" s="10"/>
      <c r="P23" s="10"/>
      <c r="Q23" s="10"/>
      <c r="R23" s="10"/>
    </row>
    <row r="24" spans="2:18" s="1" customFormat="1" ht="15.75" customHeight="1" x14ac:dyDescent="0.3">
      <c r="B24" s="108" t="s">
        <v>138</v>
      </c>
      <c r="C24" s="109">
        <v>4</v>
      </c>
      <c r="D24" s="109">
        <v>7</v>
      </c>
      <c r="E24" s="109">
        <f>G15</f>
        <v>0</v>
      </c>
      <c r="F24" s="110">
        <f>ROUND(C24*C$15+D24*D$15+E24*E$15,2)</f>
        <v>1.82</v>
      </c>
      <c r="G24" s="110">
        <f>ROUND(F24*G$17,2)</f>
        <v>0.43</v>
      </c>
      <c r="H24" s="111">
        <v>2.59</v>
      </c>
      <c r="I24" s="112"/>
      <c r="J24" s="113">
        <f>ROUND(F24*$J$17,2)</f>
        <v>0.69</v>
      </c>
      <c r="K24" s="113">
        <f>ROUND(F24*$K$17,2)</f>
        <v>0.26</v>
      </c>
      <c r="L24" s="113">
        <f>ROUND(F24*$L$17,2)</f>
        <v>0.06</v>
      </c>
      <c r="M24" s="114">
        <f>0.66-L24</f>
        <v>0.60000000000000009</v>
      </c>
      <c r="N24" s="46">
        <f>ROUND(SUM(F24:M24),2)</f>
        <v>6.45</v>
      </c>
      <c r="O24" s="10"/>
      <c r="P24" s="10"/>
      <c r="Q24" s="10"/>
      <c r="R24" s="10"/>
    </row>
    <row r="25" spans="2:18" x14ac:dyDescent="0.3">
      <c r="L25" s="74" t="s">
        <v>139</v>
      </c>
      <c r="N25" s="46">
        <v>3.24</v>
      </c>
    </row>
    <row r="26" spans="2:18" ht="28" x14ac:dyDescent="0.3">
      <c r="M26" s="116" t="s">
        <v>140</v>
      </c>
      <c r="N26" s="117">
        <f>SUM(N21:N25)</f>
        <v>142.54</v>
      </c>
    </row>
  </sheetData>
  <mergeCells count="14">
    <mergeCell ref="H6:J6"/>
    <mergeCell ref="K6:M6"/>
    <mergeCell ref="H17:I17"/>
    <mergeCell ref="B18:B19"/>
    <mergeCell ref="C18:C19"/>
    <mergeCell ref="D18:D19"/>
    <mergeCell ref="E18:E19"/>
    <mergeCell ref="F2:G2"/>
    <mergeCell ref="F3:G3"/>
    <mergeCell ref="F4:G4"/>
    <mergeCell ref="B6:B7"/>
    <mergeCell ref="C6:C7"/>
    <mergeCell ref="D6:D7"/>
    <mergeCell ref="E6:G6"/>
  </mergeCells>
  <pageMargins left="0.7" right="0.7" top="0.75" bottom="0.75" header="0.3" footer="0.3"/>
  <pageSetup paperSize="9" scale="41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4759D-8307-47B3-9923-A8268C0A62D3}">
  <dimension ref="B1:AI26"/>
  <sheetViews>
    <sheetView view="pageBreakPreview" zoomScale="60" zoomScaleNormal="100" workbookViewId="0">
      <selection activeCell="B1" sqref="B1:N1048576"/>
    </sheetView>
  </sheetViews>
  <sheetFormatPr defaultColWidth="9.1796875" defaultRowHeight="14" x14ac:dyDescent="0.3"/>
  <cols>
    <col min="1" max="1" width="3.26953125" style="3" customWidth="1"/>
    <col min="2" max="2" width="41.81640625" style="280" customWidth="1"/>
    <col min="3" max="3" width="12" style="280" customWidth="1"/>
    <col min="4" max="4" width="16.54296875" style="280" customWidth="1"/>
    <col min="5" max="5" width="15.453125" style="281" customWidth="1"/>
    <col min="6" max="6" width="12.81640625" style="282" customWidth="1"/>
    <col min="7" max="7" width="12.81640625" style="283" customWidth="1"/>
    <col min="8" max="8" width="13.1796875" style="282" customWidth="1"/>
    <col min="9" max="9" width="13" style="284" customWidth="1"/>
    <col min="10" max="10" width="16.81640625" style="280" customWidth="1"/>
    <col min="11" max="11" width="13.7265625" style="280" customWidth="1"/>
    <col min="12" max="13" width="11" style="280" customWidth="1"/>
    <col min="14" max="14" width="14.54296875" style="280" customWidth="1"/>
    <col min="15" max="15" width="19.453125" style="1" customWidth="1"/>
    <col min="16" max="16" width="14.453125" style="1" customWidth="1"/>
    <col min="17" max="17" width="13.54296875" style="1" customWidth="1"/>
    <col min="18" max="18" width="14" style="1" customWidth="1"/>
    <col min="19" max="35" width="9.1796875" style="1"/>
    <col min="36" max="16384" width="9.1796875" style="3"/>
  </cols>
  <sheetData>
    <row r="1" spans="2:21" x14ac:dyDescent="0.3">
      <c r="N1" s="280" t="s">
        <v>183</v>
      </c>
    </row>
    <row r="2" spans="2:21" ht="48" customHeight="1" x14ac:dyDescent="0.3">
      <c r="B2" s="1" t="s">
        <v>145</v>
      </c>
      <c r="C2" s="1"/>
      <c r="D2" s="1"/>
      <c r="E2" s="1"/>
      <c r="F2" s="321" t="s">
        <v>128</v>
      </c>
      <c r="G2" s="321"/>
      <c r="H2" s="2" t="s">
        <v>142</v>
      </c>
      <c r="I2" s="2" t="s">
        <v>159</v>
      </c>
      <c r="J2" s="2" t="s">
        <v>160</v>
      </c>
      <c r="K2" s="1"/>
      <c r="L2" s="1"/>
      <c r="M2" s="1"/>
      <c r="N2" s="1"/>
    </row>
    <row r="3" spans="2:21" ht="66.75" customHeight="1" x14ac:dyDescent="0.3">
      <c r="B3" s="1"/>
      <c r="C3" s="1"/>
      <c r="D3" s="1"/>
      <c r="E3" s="1"/>
      <c r="F3" s="322" t="s">
        <v>146</v>
      </c>
      <c r="G3" s="323"/>
      <c r="H3" s="28">
        <v>6</v>
      </c>
      <c r="I3" s="28">
        <f>H3</f>
        <v>6</v>
      </c>
      <c r="J3" s="300">
        <v>5</v>
      </c>
      <c r="K3" s="1"/>
      <c r="L3" s="1"/>
      <c r="M3" s="1"/>
      <c r="N3" s="4"/>
    </row>
    <row r="4" spans="2:21" x14ac:dyDescent="0.3">
      <c r="B4" s="1"/>
      <c r="C4" s="1"/>
      <c r="D4" s="1"/>
      <c r="E4" s="1"/>
      <c r="F4" s="324" t="s">
        <v>130</v>
      </c>
      <c r="G4" s="324"/>
      <c r="H4" s="42" t="s">
        <v>131</v>
      </c>
      <c r="I4" s="42">
        <v>6</v>
      </c>
      <c r="J4" s="42">
        <v>5</v>
      </c>
      <c r="K4" s="43"/>
      <c r="L4" s="1"/>
      <c r="M4" s="1"/>
      <c r="N4" s="1"/>
    </row>
    <row r="5" spans="2:21" ht="15" customHeight="1" x14ac:dyDescent="0.3">
      <c r="B5" s="1"/>
      <c r="C5" s="1"/>
      <c r="D5" s="1"/>
      <c r="E5" s="280"/>
      <c r="F5" s="287"/>
      <c r="G5" s="287"/>
      <c r="H5" s="5"/>
      <c r="I5" s="1"/>
      <c r="J5" s="6"/>
      <c r="K5" s="1"/>
      <c r="L5" s="1"/>
      <c r="M5" s="1"/>
      <c r="N5" s="1"/>
    </row>
    <row r="6" spans="2:21" ht="15" customHeight="1" x14ac:dyDescent="0.3">
      <c r="B6" s="325"/>
      <c r="C6" s="326" t="s">
        <v>43</v>
      </c>
      <c r="D6" s="326" t="s">
        <v>44</v>
      </c>
      <c r="E6" s="328"/>
      <c r="F6" s="328"/>
      <c r="G6" s="329"/>
      <c r="H6" s="330"/>
      <c r="I6" s="330"/>
      <c r="J6" s="330"/>
      <c r="K6" s="331"/>
      <c r="L6" s="331"/>
      <c r="M6" s="331"/>
      <c r="N6" s="1"/>
    </row>
    <row r="7" spans="2:21" s="1" customFormat="1" ht="12.75" customHeight="1" x14ac:dyDescent="0.3">
      <c r="B7" s="325"/>
      <c r="C7" s="327"/>
      <c r="D7" s="327"/>
      <c r="E7" s="35" t="s">
        <v>45</v>
      </c>
      <c r="F7" s="35" t="s">
        <v>132</v>
      </c>
      <c r="G7" s="36" t="s">
        <v>46</v>
      </c>
      <c r="H7" s="8"/>
      <c r="I7" s="8"/>
      <c r="J7" s="8"/>
      <c r="K7" s="8"/>
      <c r="L7" s="8"/>
      <c r="M7" s="8"/>
    </row>
    <row r="8" spans="2:21" s="1" customFormat="1" x14ac:dyDescent="0.3">
      <c r="B8" s="288" t="s">
        <v>133</v>
      </c>
      <c r="C8" s="289">
        <v>1</v>
      </c>
      <c r="D8" s="290">
        <v>1</v>
      </c>
      <c r="E8" s="37">
        <f>C8*9600*12</f>
        <v>115200</v>
      </c>
      <c r="F8" s="38">
        <f>H3*365*0.75</f>
        <v>1642.5</v>
      </c>
      <c r="G8" s="39">
        <f>ROUND(E8/F8,0)</f>
        <v>70</v>
      </c>
      <c r="H8" s="5"/>
      <c r="I8" s="7"/>
      <c r="J8" s="29"/>
      <c r="K8" s="5"/>
      <c r="M8" s="9"/>
      <c r="R8" s="10"/>
      <c r="S8" s="10"/>
      <c r="T8" s="10"/>
      <c r="U8" s="10"/>
    </row>
    <row r="9" spans="2:21" s="1" customFormat="1" ht="28" x14ac:dyDescent="0.3">
      <c r="B9" s="288" t="s">
        <v>170</v>
      </c>
      <c r="C9" s="289">
        <v>1</v>
      </c>
      <c r="D9" s="291">
        <v>1</v>
      </c>
      <c r="E9" s="37">
        <f>C9*9600*12</f>
        <v>115200</v>
      </c>
      <c r="F9" s="38">
        <f>I3*365*0.75</f>
        <v>1642.5</v>
      </c>
      <c r="G9" s="39">
        <f>ROUND(E9/F9,0)</f>
        <v>70</v>
      </c>
      <c r="H9" s="5"/>
      <c r="I9" s="7"/>
      <c r="J9" s="9"/>
      <c r="K9" s="5"/>
      <c r="M9" s="9"/>
    </row>
    <row r="10" spans="2:21" s="1" customFormat="1" ht="27" customHeight="1" x14ac:dyDescent="0.3">
      <c r="B10" s="288" t="s">
        <v>164</v>
      </c>
      <c r="C10" s="289">
        <v>1</v>
      </c>
      <c r="D10" s="291">
        <v>1</v>
      </c>
      <c r="E10" s="37">
        <f>C10*9600*12</f>
        <v>115200</v>
      </c>
      <c r="F10" s="38">
        <f>J3*365*0.75</f>
        <v>1368.75</v>
      </c>
      <c r="G10" s="39">
        <f>ROUND(E10/F10,0)</f>
        <v>84</v>
      </c>
      <c r="H10" s="5"/>
      <c r="I10" s="7"/>
      <c r="J10" s="9"/>
      <c r="K10" s="5"/>
      <c r="M10" s="9"/>
    </row>
    <row r="11" spans="2:21" s="1" customFormat="1" ht="16.5" customHeight="1" x14ac:dyDescent="0.3">
      <c r="B11" s="288" t="s">
        <v>166</v>
      </c>
      <c r="C11" s="289">
        <v>1</v>
      </c>
      <c r="D11" s="291">
        <v>1</v>
      </c>
      <c r="E11" s="37">
        <f t="shared" ref="E11:E12" si="0">C11*9600*12</f>
        <v>115200</v>
      </c>
      <c r="F11" s="38">
        <f>I4*365*0.75</f>
        <v>1642.5</v>
      </c>
      <c r="G11" s="39">
        <f t="shared" ref="G11:G12" si="1">ROUND(E11/F11,0)</f>
        <v>70</v>
      </c>
      <c r="H11" s="5"/>
      <c r="I11" s="7"/>
      <c r="J11" s="9"/>
      <c r="K11" s="5"/>
      <c r="M11" s="9"/>
    </row>
    <row r="12" spans="2:21" s="1" customFormat="1" ht="27" customHeight="1" x14ac:dyDescent="0.3">
      <c r="B12" s="288" t="s">
        <v>167</v>
      </c>
      <c r="C12" s="289">
        <v>1</v>
      </c>
      <c r="D12" s="291">
        <v>1</v>
      </c>
      <c r="E12" s="37">
        <f t="shared" si="0"/>
        <v>115200</v>
      </c>
      <c r="F12" s="38">
        <f>J4*365*0.75</f>
        <v>1368.75</v>
      </c>
      <c r="G12" s="39">
        <f t="shared" si="1"/>
        <v>84</v>
      </c>
      <c r="H12" s="5"/>
      <c r="I12" s="7"/>
      <c r="J12" s="9"/>
      <c r="K12" s="5"/>
      <c r="M12" s="9"/>
    </row>
    <row r="13" spans="2:21" s="1" customFormat="1" ht="15" customHeight="1" x14ac:dyDescent="0.3">
      <c r="B13" s="292"/>
      <c r="C13" s="293"/>
      <c r="D13" s="284"/>
      <c r="G13" s="11"/>
      <c r="J13" s="12"/>
      <c r="K13" s="13"/>
    </row>
    <row r="14" spans="2:21" s="1" customFormat="1" ht="15" customHeight="1" x14ac:dyDescent="0.3">
      <c r="B14" s="288" t="s">
        <v>47</v>
      </c>
      <c r="C14" s="14">
        <v>2083</v>
      </c>
      <c r="D14" s="14">
        <v>1303</v>
      </c>
      <c r="E14" s="14">
        <v>865</v>
      </c>
    </row>
    <row r="15" spans="2:21" s="1" customFormat="1" ht="15" customHeight="1" x14ac:dyDescent="0.3">
      <c r="B15" s="294" t="s">
        <v>134</v>
      </c>
      <c r="C15" s="34">
        <f>ROUND(C14/9600,4)</f>
        <v>0.217</v>
      </c>
      <c r="D15" s="34">
        <f>ROUND(D14/9600,4)</f>
        <v>0.13569999999999999</v>
      </c>
      <c r="E15" s="34">
        <f>ROUND(E14/9600,4)</f>
        <v>9.01E-2</v>
      </c>
    </row>
    <row r="16" spans="2:21" s="1" customFormat="1" ht="15" customHeight="1" x14ac:dyDescent="0.3">
      <c r="B16" s="295" t="s">
        <v>130</v>
      </c>
      <c r="C16" s="40"/>
      <c r="D16" s="40">
        <f>'Darba algas'!BE11</f>
        <v>0.17519999999999999</v>
      </c>
      <c r="E16" s="40">
        <f>'Darba algas'!BE14</f>
        <v>0.1149</v>
      </c>
    </row>
    <row r="17" spans="2:18" s="1" customFormat="1" ht="38.25" customHeight="1" x14ac:dyDescent="0.3">
      <c r="B17" s="41" t="s">
        <v>135</v>
      </c>
      <c r="C17" s="296">
        <f>'Darba algas'!BE7</f>
        <v>0.2319</v>
      </c>
      <c r="D17" s="296">
        <f>'Darba algas'!BE10</f>
        <v>0.14280000000000001</v>
      </c>
      <c r="E17" s="296">
        <f>'Darba algas'!BE13</f>
        <v>9.3600000000000003E-2</v>
      </c>
      <c r="G17" s="15">
        <v>0.2359</v>
      </c>
      <c r="H17" s="332" t="s">
        <v>48</v>
      </c>
      <c r="I17" s="333"/>
      <c r="J17" s="297">
        <v>0.37709999999999999</v>
      </c>
      <c r="K17" s="297">
        <v>0.14349999999999999</v>
      </c>
      <c r="L17" s="297">
        <v>3.49E-2</v>
      </c>
      <c r="M17" s="12"/>
      <c r="N17" s="16" t="s">
        <v>49</v>
      </c>
      <c r="Q17" s="10"/>
    </row>
    <row r="18" spans="2:18" s="1" customFormat="1" ht="12.75" customHeight="1" x14ac:dyDescent="0.3">
      <c r="B18" s="334"/>
      <c r="C18" s="336" t="s">
        <v>50</v>
      </c>
      <c r="D18" s="338" t="s">
        <v>171</v>
      </c>
      <c r="E18" s="336" t="s">
        <v>169</v>
      </c>
      <c r="F18" s="2" t="s">
        <v>8</v>
      </c>
      <c r="G18" s="2" t="s">
        <v>9</v>
      </c>
      <c r="H18" s="2" t="s">
        <v>10</v>
      </c>
      <c r="I18" s="2" t="s">
        <v>11</v>
      </c>
      <c r="J18" s="2" t="s">
        <v>12</v>
      </c>
      <c r="K18" s="2" t="s">
        <v>13</v>
      </c>
      <c r="L18" s="2" t="s">
        <v>14</v>
      </c>
      <c r="M18" s="2" t="s">
        <v>51</v>
      </c>
      <c r="N18" s="2" t="s">
        <v>52</v>
      </c>
      <c r="Q18" s="10"/>
    </row>
    <row r="19" spans="2:18" s="1" customFormat="1" ht="34.5" customHeight="1" x14ac:dyDescent="0.3">
      <c r="B19" s="335"/>
      <c r="C19" s="337"/>
      <c r="D19" s="337"/>
      <c r="E19" s="337"/>
      <c r="F19" s="2" t="s">
        <v>1</v>
      </c>
      <c r="G19" s="2" t="s">
        <v>2</v>
      </c>
      <c r="H19" s="2" t="s">
        <v>3</v>
      </c>
      <c r="I19" s="2" t="s">
        <v>4</v>
      </c>
      <c r="J19" s="2" t="s">
        <v>5</v>
      </c>
      <c r="K19" s="2" t="s">
        <v>6</v>
      </c>
      <c r="L19" s="17" t="s">
        <v>53</v>
      </c>
      <c r="M19" s="2" t="s">
        <v>7</v>
      </c>
      <c r="N19" s="2"/>
    </row>
    <row r="20" spans="2:18" x14ac:dyDescent="0.3">
      <c r="F20" s="282">
        <f t="shared" ref="F20:M20" si="2">SUM(F21:F24)</f>
        <v>64.47999999999999</v>
      </c>
      <c r="G20" s="282">
        <f t="shared" si="2"/>
        <v>15.209999999999999</v>
      </c>
      <c r="H20" s="282">
        <f t="shared" si="2"/>
        <v>8.43</v>
      </c>
      <c r="I20" s="282">
        <f t="shared" si="2"/>
        <v>7</v>
      </c>
      <c r="J20" s="282">
        <f t="shared" si="2"/>
        <v>24.319999999999997</v>
      </c>
      <c r="K20" s="282">
        <f t="shared" si="2"/>
        <v>9.26</v>
      </c>
      <c r="L20" s="282">
        <f t="shared" si="2"/>
        <v>2.25</v>
      </c>
      <c r="M20" s="282">
        <f t="shared" si="2"/>
        <v>4.58</v>
      </c>
      <c r="P20" s="7"/>
      <c r="Q20" s="18"/>
      <c r="R20" s="7"/>
    </row>
    <row r="21" spans="2:18" s="1" customFormat="1" ht="15.75" customHeight="1" x14ac:dyDescent="0.3">
      <c r="B21" s="19" t="s">
        <v>147</v>
      </c>
      <c r="C21" s="20">
        <f>G8</f>
        <v>70</v>
      </c>
      <c r="D21" s="20">
        <f>G9</f>
        <v>70</v>
      </c>
      <c r="E21" s="20">
        <f>G10</f>
        <v>84</v>
      </c>
      <c r="F21" s="21">
        <f>ROUND(C21*C$17+D21*D$17+E21*E$17,2)</f>
        <v>34.090000000000003</v>
      </c>
      <c r="G21" s="21">
        <f>ROUND(F21*G$17,2)</f>
        <v>8.0399999999999991</v>
      </c>
      <c r="H21" s="22">
        <v>8.25</v>
      </c>
      <c r="I21" s="23">
        <v>7</v>
      </c>
      <c r="J21" s="24">
        <f>ROUND(F21*$J$17,2)</f>
        <v>12.86</v>
      </c>
      <c r="K21" s="24">
        <f>ROUND(F21*$K$17,2)</f>
        <v>4.8899999999999997</v>
      </c>
      <c r="L21" s="24">
        <f>ROUND(F21*$L$17,2)</f>
        <v>1.19</v>
      </c>
      <c r="M21" s="25">
        <v>4.55</v>
      </c>
      <c r="N21" s="26">
        <f>ROUND(SUM(F21:M21),2)</f>
        <v>80.87</v>
      </c>
      <c r="O21" s="10"/>
      <c r="P21" s="10"/>
      <c r="Q21" s="10"/>
      <c r="R21" s="10"/>
    </row>
    <row r="22" spans="2:18" s="1" customFormat="1" ht="15.75" customHeight="1" x14ac:dyDescent="0.3">
      <c r="B22" s="19" t="s">
        <v>144</v>
      </c>
      <c r="C22" s="20">
        <f>C21/2</f>
        <v>35</v>
      </c>
      <c r="D22" s="20"/>
      <c r="E22" s="20"/>
      <c r="F22" s="21">
        <f>ROUND(C22*C$17+D22*D$17+E22*E$17,2)</f>
        <v>8.1199999999999992</v>
      </c>
      <c r="G22" s="21">
        <f>ROUND(F22*G$17,2)</f>
        <v>1.92</v>
      </c>
      <c r="H22" s="22"/>
      <c r="I22" s="23"/>
      <c r="J22" s="24">
        <f>ROUND(F22*$J$17,2)</f>
        <v>3.06</v>
      </c>
      <c r="K22" s="24">
        <f>ROUND(F22*$K$17,2)</f>
        <v>1.17</v>
      </c>
      <c r="L22" s="24">
        <f>ROUND(F22*$L$17,2)</f>
        <v>0.28000000000000003</v>
      </c>
      <c r="M22" s="25">
        <v>0</v>
      </c>
      <c r="N22" s="26">
        <f>ROUND(SUM(F22:M22),2)</f>
        <v>14.55</v>
      </c>
      <c r="O22" s="10"/>
      <c r="P22" s="10"/>
      <c r="Q22" s="10"/>
      <c r="R22" s="10"/>
    </row>
    <row r="23" spans="2:18" s="1" customFormat="1" ht="15.75" customHeight="1" x14ac:dyDescent="0.3">
      <c r="B23" s="19" t="s">
        <v>130</v>
      </c>
      <c r="C23" s="20"/>
      <c r="D23" s="20">
        <f>G11</f>
        <v>70</v>
      </c>
      <c r="E23" s="20">
        <f>G12</f>
        <v>84</v>
      </c>
      <c r="F23" s="21">
        <f>ROUND(C23*C$16+D23*D$16+E23*E$16,2)</f>
        <v>21.92</v>
      </c>
      <c r="G23" s="21">
        <f>ROUND(F23*G$17,2)</f>
        <v>5.17</v>
      </c>
      <c r="H23" s="22"/>
      <c r="I23" s="23"/>
      <c r="J23" s="24">
        <f>ROUND(F23*$J$17,2)</f>
        <v>8.27</v>
      </c>
      <c r="K23" s="24">
        <f>ROUND(F23*$K$17,2)</f>
        <v>3.15</v>
      </c>
      <c r="L23" s="24">
        <f>ROUND(F23*$L$17,2)</f>
        <v>0.77</v>
      </c>
      <c r="M23" s="25">
        <v>0</v>
      </c>
      <c r="N23" s="26">
        <f>ROUND(SUM(F23:M23),2)</f>
        <v>39.28</v>
      </c>
      <c r="O23" s="10"/>
      <c r="P23" s="10"/>
      <c r="Q23" s="10"/>
      <c r="R23" s="10"/>
    </row>
    <row r="24" spans="2:18" s="1" customFormat="1" ht="15.75" customHeight="1" x14ac:dyDescent="0.3">
      <c r="B24" s="19" t="s">
        <v>138</v>
      </c>
      <c r="C24" s="20">
        <v>1</v>
      </c>
      <c r="D24" s="20">
        <v>1</v>
      </c>
      <c r="E24" s="20">
        <f>G15</f>
        <v>0</v>
      </c>
      <c r="F24" s="21">
        <f>ROUND(C24*C$15+D24*D$15+E24*E$15,2)</f>
        <v>0.35</v>
      </c>
      <c r="G24" s="21">
        <f>ROUND(F24*G$17,2)</f>
        <v>0.08</v>
      </c>
      <c r="H24" s="22">
        <v>0.18</v>
      </c>
      <c r="I24" s="23"/>
      <c r="J24" s="24">
        <f>ROUND(F24*$J$17,2)</f>
        <v>0.13</v>
      </c>
      <c r="K24" s="24">
        <f>ROUND(F24*$K$17,2)</f>
        <v>0.05</v>
      </c>
      <c r="L24" s="24">
        <f>ROUND(F24*$L$17,2)</f>
        <v>0.01</v>
      </c>
      <c r="M24" s="25">
        <v>0.03</v>
      </c>
      <c r="N24" s="26">
        <f>ROUND(SUM(F24:M24),2)</f>
        <v>0.83</v>
      </c>
      <c r="O24" s="10"/>
      <c r="P24" s="10"/>
      <c r="Q24" s="10"/>
      <c r="R24" s="10"/>
    </row>
    <row r="25" spans="2:18" x14ac:dyDescent="0.3">
      <c r="L25" s="280" t="s">
        <v>139</v>
      </c>
      <c r="N25" s="26">
        <v>1.85</v>
      </c>
    </row>
    <row r="26" spans="2:18" ht="28" x14ac:dyDescent="0.3">
      <c r="M26" s="298" t="s">
        <v>140</v>
      </c>
      <c r="N26" s="299">
        <f>SUM(N21:N25)</f>
        <v>137.38</v>
      </c>
    </row>
  </sheetData>
  <mergeCells count="14">
    <mergeCell ref="H6:J6"/>
    <mergeCell ref="K6:M6"/>
    <mergeCell ref="H17:I17"/>
    <mergeCell ref="B18:B19"/>
    <mergeCell ref="C18:C19"/>
    <mergeCell ref="D18:D19"/>
    <mergeCell ref="E18:E19"/>
    <mergeCell ref="F2:G2"/>
    <mergeCell ref="F3:G3"/>
    <mergeCell ref="F4:G4"/>
    <mergeCell ref="B6:B7"/>
    <mergeCell ref="C6:C7"/>
    <mergeCell ref="D6:D7"/>
    <mergeCell ref="E6:G6"/>
  </mergeCells>
  <pageMargins left="0.7" right="0.7" top="0.75" bottom="0.75" header="0.3" footer="0.3"/>
  <pageSetup paperSize="9" scale="41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AA818-124F-4679-B78E-272090638483}">
  <dimension ref="B1:AI26"/>
  <sheetViews>
    <sheetView view="pageBreakPreview" zoomScale="60" zoomScaleNormal="100" workbookViewId="0">
      <selection activeCell="B1" sqref="B1:N1048576"/>
    </sheetView>
  </sheetViews>
  <sheetFormatPr defaultColWidth="9.1796875" defaultRowHeight="14" x14ac:dyDescent="0.3"/>
  <cols>
    <col min="1" max="1" width="3.26953125" style="3" customWidth="1"/>
    <col min="2" max="2" width="41.81640625" style="280" customWidth="1"/>
    <col min="3" max="3" width="12" style="280" customWidth="1"/>
    <col min="4" max="4" width="16.54296875" style="280" customWidth="1"/>
    <col min="5" max="5" width="15.453125" style="281" customWidth="1"/>
    <col min="6" max="6" width="12.81640625" style="282" customWidth="1"/>
    <col min="7" max="7" width="12.81640625" style="283" customWidth="1"/>
    <col min="8" max="8" width="13.1796875" style="282" customWidth="1"/>
    <col min="9" max="9" width="13" style="284" customWidth="1"/>
    <col min="10" max="10" width="16.81640625" style="280" customWidth="1"/>
    <col min="11" max="11" width="13.7265625" style="280" customWidth="1"/>
    <col min="12" max="13" width="11" style="280" customWidth="1"/>
    <col min="14" max="14" width="14.54296875" style="280" customWidth="1"/>
    <col min="15" max="15" width="19.453125" style="1" customWidth="1"/>
    <col min="16" max="16" width="14.453125" style="1" customWidth="1"/>
    <col min="17" max="17" width="13.54296875" style="1" customWidth="1"/>
    <col min="18" max="18" width="14" style="1" customWidth="1"/>
    <col min="19" max="35" width="9.1796875" style="1"/>
    <col min="36" max="16384" width="9.1796875" style="3"/>
  </cols>
  <sheetData>
    <row r="1" spans="2:21" x14ac:dyDescent="0.3">
      <c r="N1" s="280" t="s">
        <v>184</v>
      </c>
    </row>
    <row r="2" spans="2:21" ht="48" customHeight="1" x14ac:dyDescent="0.35">
      <c r="B2" s="27" t="s">
        <v>148</v>
      </c>
      <c r="C2" s="1"/>
      <c r="D2" s="1"/>
      <c r="E2" s="1"/>
      <c r="F2" s="321" t="s">
        <v>128</v>
      </c>
      <c r="G2" s="321"/>
      <c r="H2" s="2" t="s">
        <v>142</v>
      </c>
      <c r="I2" s="2" t="s">
        <v>159</v>
      </c>
      <c r="J2" s="2" t="s">
        <v>160</v>
      </c>
      <c r="K2" s="1"/>
      <c r="L2" s="1"/>
      <c r="M2" s="1"/>
      <c r="N2" s="1"/>
    </row>
    <row r="3" spans="2:21" ht="66.75" customHeight="1" x14ac:dyDescent="0.3">
      <c r="B3" s="1"/>
      <c r="C3" s="1"/>
      <c r="D3" s="1"/>
      <c r="E3" s="1"/>
      <c r="F3" s="322" t="s">
        <v>148</v>
      </c>
      <c r="G3" s="323"/>
      <c r="H3" s="44">
        <v>20</v>
      </c>
      <c r="I3" s="285">
        <v>2</v>
      </c>
      <c r="J3" s="286">
        <v>16</v>
      </c>
      <c r="K3" s="1"/>
      <c r="L3" s="1"/>
      <c r="M3" s="1"/>
      <c r="N3" s="4"/>
    </row>
    <row r="4" spans="2:21" x14ac:dyDescent="0.3">
      <c r="B4" s="1"/>
      <c r="C4" s="1"/>
      <c r="D4" s="1"/>
      <c r="E4" s="1"/>
      <c r="F4" s="324" t="s">
        <v>130</v>
      </c>
      <c r="G4" s="324"/>
      <c r="H4" s="42" t="s">
        <v>131</v>
      </c>
      <c r="I4" s="42">
        <v>2</v>
      </c>
      <c r="J4" s="42">
        <v>16</v>
      </c>
      <c r="K4" s="43"/>
      <c r="L4" s="1"/>
      <c r="M4" s="1"/>
      <c r="N4" s="1"/>
    </row>
    <row r="5" spans="2:21" ht="15" customHeight="1" x14ac:dyDescent="0.3">
      <c r="B5" s="1"/>
      <c r="C5" s="1"/>
      <c r="D5" s="1"/>
      <c r="E5" s="280"/>
      <c r="F5" s="287"/>
      <c r="G5" s="287"/>
      <c r="H5" s="5"/>
      <c r="I5" s="1"/>
      <c r="J5" s="6"/>
      <c r="K5" s="1"/>
      <c r="L5" s="1"/>
      <c r="M5" s="1"/>
      <c r="N5" s="1"/>
    </row>
    <row r="6" spans="2:21" ht="15" customHeight="1" x14ac:dyDescent="0.3">
      <c r="B6" s="325"/>
      <c r="C6" s="326" t="s">
        <v>43</v>
      </c>
      <c r="D6" s="326" t="s">
        <v>44</v>
      </c>
      <c r="E6" s="328"/>
      <c r="F6" s="328"/>
      <c r="G6" s="329"/>
      <c r="H6" s="330"/>
      <c r="I6" s="330"/>
      <c r="J6" s="330"/>
      <c r="K6" s="331"/>
      <c r="L6" s="331"/>
      <c r="M6" s="331"/>
      <c r="N6" s="1"/>
    </row>
    <row r="7" spans="2:21" s="1" customFormat="1" ht="12.75" customHeight="1" x14ac:dyDescent="0.3">
      <c r="B7" s="325"/>
      <c r="C7" s="327"/>
      <c r="D7" s="327"/>
      <c r="E7" s="35" t="s">
        <v>45</v>
      </c>
      <c r="F7" s="35" t="s">
        <v>132</v>
      </c>
      <c r="G7" s="36" t="s">
        <v>46</v>
      </c>
      <c r="H7" s="8"/>
      <c r="I7" s="8"/>
      <c r="J7" s="8"/>
      <c r="K7" s="8"/>
      <c r="L7" s="8"/>
      <c r="M7" s="8"/>
    </row>
    <row r="8" spans="2:21" s="1" customFormat="1" x14ac:dyDescent="0.3">
      <c r="B8" s="288" t="s">
        <v>133</v>
      </c>
      <c r="C8" s="289">
        <v>1</v>
      </c>
      <c r="D8" s="290">
        <v>1</v>
      </c>
      <c r="E8" s="37">
        <f>C8*9600*12</f>
        <v>115200</v>
      </c>
      <c r="F8" s="38">
        <f>H3*365*0.75</f>
        <v>5475</v>
      </c>
      <c r="G8" s="39">
        <f>ROUND(E8/F8,0)</f>
        <v>21</v>
      </c>
      <c r="H8" s="5"/>
      <c r="I8" s="7"/>
      <c r="J8" s="29"/>
      <c r="K8" s="5"/>
      <c r="M8" s="9"/>
      <c r="R8" s="10"/>
      <c r="S8" s="10"/>
      <c r="T8" s="10"/>
      <c r="U8" s="10"/>
    </row>
    <row r="9" spans="2:21" s="1" customFormat="1" ht="28" x14ac:dyDescent="0.3">
      <c r="B9" s="288" t="s">
        <v>170</v>
      </c>
      <c r="C9" s="289">
        <v>1</v>
      </c>
      <c r="D9" s="291">
        <v>1</v>
      </c>
      <c r="E9" s="37">
        <f>C9*9600*12</f>
        <v>115200</v>
      </c>
      <c r="F9" s="38">
        <f>I3*365*0.75</f>
        <v>547.5</v>
      </c>
      <c r="G9" s="39">
        <f>ROUND(E9/F9,0)</f>
        <v>210</v>
      </c>
      <c r="H9" s="5"/>
      <c r="I9" s="7"/>
      <c r="J9" s="9"/>
      <c r="K9" s="5"/>
      <c r="M9" s="9"/>
    </row>
    <row r="10" spans="2:21" s="1" customFormat="1" ht="27" customHeight="1" x14ac:dyDescent="0.3">
      <c r="B10" s="288" t="s">
        <v>164</v>
      </c>
      <c r="C10" s="289">
        <v>1</v>
      </c>
      <c r="D10" s="291">
        <v>1</v>
      </c>
      <c r="E10" s="37">
        <f>C10*9600*12</f>
        <v>115200</v>
      </c>
      <c r="F10" s="38">
        <f>J3*365*0.75</f>
        <v>4380</v>
      </c>
      <c r="G10" s="39">
        <f>ROUND(E10/F10,0)</f>
        <v>26</v>
      </c>
      <c r="H10" s="5"/>
      <c r="I10" s="7"/>
      <c r="J10" s="9"/>
      <c r="K10" s="5"/>
      <c r="M10" s="9"/>
    </row>
    <row r="11" spans="2:21" s="1" customFormat="1" ht="16.5" customHeight="1" x14ac:dyDescent="0.3">
      <c r="B11" s="288" t="s">
        <v>166</v>
      </c>
      <c r="C11" s="289">
        <v>1</v>
      </c>
      <c r="D11" s="291">
        <v>1</v>
      </c>
      <c r="E11" s="37">
        <f t="shared" ref="E11:E12" si="0">C11*9600*12</f>
        <v>115200</v>
      </c>
      <c r="F11" s="38">
        <f>I4*365*0.75</f>
        <v>547.5</v>
      </c>
      <c r="G11" s="39">
        <f t="shared" ref="G11:G12" si="1">ROUND(E11/F11,0)</f>
        <v>210</v>
      </c>
      <c r="H11" s="5"/>
      <c r="I11" s="7"/>
      <c r="J11" s="9"/>
      <c r="K11" s="5"/>
      <c r="M11" s="9"/>
    </row>
    <row r="12" spans="2:21" s="1" customFormat="1" ht="27" customHeight="1" x14ac:dyDescent="0.3">
      <c r="B12" s="288" t="s">
        <v>167</v>
      </c>
      <c r="C12" s="289">
        <v>1</v>
      </c>
      <c r="D12" s="291">
        <v>1</v>
      </c>
      <c r="E12" s="37">
        <f t="shared" si="0"/>
        <v>115200</v>
      </c>
      <c r="F12" s="38">
        <f>J4*365*0.75</f>
        <v>4380</v>
      </c>
      <c r="G12" s="39">
        <f t="shared" si="1"/>
        <v>26</v>
      </c>
      <c r="H12" s="5"/>
      <c r="I12" s="7"/>
      <c r="J12" s="9"/>
      <c r="K12" s="5"/>
      <c r="M12" s="9"/>
    </row>
    <row r="13" spans="2:21" s="1" customFormat="1" ht="15" customHeight="1" x14ac:dyDescent="0.3">
      <c r="B13" s="292"/>
      <c r="C13" s="293"/>
      <c r="D13" s="284"/>
      <c r="G13" s="11"/>
      <c r="J13" s="12"/>
      <c r="K13" s="13"/>
    </row>
    <row r="14" spans="2:21" s="1" customFormat="1" ht="15" customHeight="1" x14ac:dyDescent="0.3">
      <c r="B14" s="288" t="s">
        <v>47</v>
      </c>
      <c r="C14" s="14">
        <v>2083</v>
      </c>
      <c r="D14" s="14">
        <v>1303</v>
      </c>
      <c r="E14" s="14">
        <v>865</v>
      </c>
    </row>
    <row r="15" spans="2:21" s="1" customFormat="1" ht="15" customHeight="1" x14ac:dyDescent="0.3">
      <c r="B15" s="294" t="s">
        <v>134</v>
      </c>
      <c r="C15" s="34">
        <f>ROUND(C14/9600,4)</f>
        <v>0.217</v>
      </c>
      <c r="D15" s="34">
        <f>ROUND(D14/9600,4)</f>
        <v>0.13569999999999999</v>
      </c>
      <c r="E15" s="34">
        <f>ROUND(E14/9600,4)</f>
        <v>9.01E-2</v>
      </c>
    </row>
    <row r="16" spans="2:21" s="1" customFormat="1" ht="15" customHeight="1" x14ac:dyDescent="0.3">
      <c r="B16" s="295" t="s">
        <v>130</v>
      </c>
      <c r="C16" s="40"/>
      <c r="D16" s="40">
        <f>'Darba algas'!BE11</f>
        <v>0.17519999999999999</v>
      </c>
      <c r="E16" s="40">
        <f>'Darba algas'!BE14</f>
        <v>0.1149</v>
      </c>
    </row>
    <row r="17" spans="2:18" s="1" customFormat="1" ht="38.25" customHeight="1" x14ac:dyDescent="0.3">
      <c r="B17" s="41" t="s">
        <v>135</v>
      </c>
      <c r="C17" s="296">
        <f>'Darba algas'!BE7</f>
        <v>0.2319</v>
      </c>
      <c r="D17" s="296">
        <f>'Darba algas'!BE10</f>
        <v>0.14280000000000001</v>
      </c>
      <c r="E17" s="296">
        <f>'Darba algas'!BE13</f>
        <v>9.3600000000000003E-2</v>
      </c>
      <c r="G17" s="15">
        <v>0.2359</v>
      </c>
      <c r="H17" s="332" t="s">
        <v>48</v>
      </c>
      <c r="I17" s="333"/>
      <c r="J17" s="297">
        <v>0.37709999999999999</v>
      </c>
      <c r="K17" s="297">
        <v>0.14349999999999999</v>
      </c>
      <c r="L17" s="297">
        <v>3.49E-2</v>
      </c>
      <c r="M17" s="12"/>
      <c r="N17" s="16" t="s">
        <v>49</v>
      </c>
      <c r="Q17" s="10"/>
    </row>
    <row r="18" spans="2:18" s="1" customFormat="1" ht="12.75" customHeight="1" x14ac:dyDescent="0.3">
      <c r="B18" s="334"/>
      <c r="C18" s="336" t="s">
        <v>50</v>
      </c>
      <c r="D18" s="338" t="s">
        <v>171</v>
      </c>
      <c r="E18" s="336" t="s">
        <v>169</v>
      </c>
      <c r="F18" s="2" t="s">
        <v>8</v>
      </c>
      <c r="G18" s="2" t="s">
        <v>9</v>
      </c>
      <c r="H18" s="2" t="s">
        <v>10</v>
      </c>
      <c r="I18" s="2" t="s">
        <v>11</v>
      </c>
      <c r="J18" s="2" t="s">
        <v>12</v>
      </c>
      <c r="K18" s="2" t="s">
        <v>13</v>
      </c>
      <c r="L18" s="2" t="s">
        <v>14</v>
      </c>
      <c r="M18" s="2" t="s">
        <v>51</v>
      </c>
      <c r="N18" s="2" t="s">
        <v>52</v>
      </c>
      <c r="Q18" s="10"/>
    </row>
    <row r="19" spans="2:18" s="1" customFormat="1" ht="60.75" customHeight="1" x14ac:dyDescent="0.3">
      <c r="B19" s="335"/>
      <c r="C19" s="337"/>
      <c r="D19" s="337"/>
      <c r="E19" s="337"/>
      <c r="F19" s="2" t="s">
        <v>1</v>
      </c>
      <c r="G19" s="2" t="s">
        <v>2</v>
      </c>
      <c r="H19" s="2" t="s">
        <v>3</v>
      </c>
      <c r="I19" s="2" t="s">
        <v>4</v>
      </c>
      <c r="J19" s="2" t="s">
        <v>5</v>
      </c>
      <c r="K19" s="2" t="s">
        <v>6</v>
      </c>
      <c r="L19" s="17" t="s">
        <v>53</v>
      </c>
      <c r="M19" s="2" t="s">
        <v>7</v>
      </c>
      <c r="N19" s="2"/>
    </row>
    <row r="20" spans="2:18" x14ac:dyDescent="0.3">
      <c r="F20" s="282">
        <f t="shared" ref="F20:M20" si="2">SUM(F21:F24)</f>
        <v>79.849999999999994</v>
      </c>
      <c r="G20" s="282">
        <f t="shared" si="2"/>
        <v>18.829999999999998</v>
      </c>
      <c r="H20" s="282">
        <f t="shared" si="2"/>
        <v>8.43</v>
      </c>
      <c r="I20" s="282">
        <f t="shared" si="2"/>
        <v>7</v>
      </c>
      <c r="J20" s="282">
        <f t="shared" si="2"/>
        <v>30.11</v>
      </c>
      <c r="K20" s="282">
        <f t="shared" si="2"/>
        <v>11.46</v>
      </c>
      <c r="L20" s="282">
        <f t="shared" si="2"/>
        <v>2.78</v>
      </c>
      <c r="M20" s="282">
        <f t="shared" si="2"/>
        <v>4.59</v>
      </c>
      <c r="P20" s="7"/>
      <c r="Q20" s="18"/>
      <c r="R20" s="7"/>
    </row>
    <row r="21" spans="2:18" s="1" customFormat="1" ht="15.75" customHeight="1" x14ac:dyDescent="0.3">
      <c r="B21" s="19" t="s">
        <v>149</v>
      </c>
      <c r="C21" s="20">
        <f>G8</f>
        <v>21</v>
      </c>
      <c r="D21" s="20">
        <f>G9</f>
        <v>210</v>
      </c>
      <c r="E21" s="20">
        <f>G10</f>
        <v>26</v>
      </c>
      <c r="F21" s="21">
        <f>ROUND(C21*C$17+D21*D$17+E21*E$17,2)</f>
        <v>37.29</v>
      </c>
      <c r="G21" s="21">
        <f>ROUND(F21*G$17,2)</f>
        <v>8.8000000000000007</v>
      </c>
      <c r="H21" s="22">
        <v>8.25</v>
      </c>
      <c r="I21" s="23">
        <v>7</v>
      </c>
      <c r="J21" s="24">
        <f>ROUND(F21*$J$17,2)</f>
        <v>14.06</v>
      </c>
      <c r="K21" s="24">
        <f>ROUND(F21*$K$17,2)</f>
        <v>5.35</v>
      </c>
      <c r="L21" s="24">
        <f>ROUND(F21*$L$17,2)</f>
        <v>1.3</v>
      </c>
      <c r="M21" s="25">
        <v>4.55</v>
      </c>
      <c r="N21" s="26">
        <f>ROUND(SUM(F21:M21),2)</f>
        <v>86.6</v>
      </c>
      <c r="O21" s="10"/>
      <c r="P21" s="10"/>
      <c r="Q21" s="10"/>
      <c r="R21" s="10"/>
    </row>
    <row r="22" spans="2:18" s="1" customFormat="1" ht="15.75" customHeight="1" x14ac:dyDescent="0.3">
      <c r="B22" s="19" t="s">
        <v>144</v>
      </c>
      <c r="C22" s="20">
        <f>C21/2</f>
        <v>10.5</v>
      </c>
      <c r="D22" s="20"/>
      <c r="E22" s="20"/>
      <c r="F22" s="21">
        <f>ROUND(C22*C$17+D22*D$17+E22*E$17,2)</f>
        <v>2.4300000000000002</v>
      </c>
      <c r="G22" s="21">
        <f>ROUND(F22*G$17,2)</f>
        <v>0.56999999999999995</v>
      </c>
      <c r="H22" s="22"/>
      <c r="I22" s="23"/>
      <c r="J22" s="24">
        <f>ROUND(F22*$J$17,2)</f>
        <v>0.92</v>
      </c>
      <c r="K22" s="24">
        <f>ROUND(F22*$K$17,2)</f>
        <v>0.35</v>
      </c>
      <c r="L22" s="24">
        <f>ROUND(F22*$L$17,2)</f>
        <v>0.08</v>
      </c>
      <c r="M22" s="25">
        <v>0</v>
      </c>
      <c r="N22" s="26">
        <f>ROUND(SUM(F22:M22),2)</f>
        <v>4.3499999999999996</v>
      </c>
      <c r="O22" s="10"/>
      <c r="P22" s="10"/>
      <c r="Q22" s="10"/>
      <c r="R22" s="10"/>
    </row>
    <row r="23" spans="2:18" s="1" customFormat="1" ht="15.75" customHeight="1" x14ac:dyDescent="0.3">
      <c r="B23" s="19" t="s">
        <v>130</v>
      </c>
      <c r="C23" s="20"/>
      <c r="D23" s="20">
        <f>G11</f>
        <v>210</v>
      </c>
      <c r="E23" s="20">
        <f>G12</f>
        <v>26</v>
      </c>
      <c r="F23" s="21">
        <f>ROUND(C23*C$16+D23*D$16+E23*E$16,2)</f>
        <v>39.78</v>
      </c>
      <c r="G23" s="21">
        <f>ROUND(F23*G$17,2)</f>
        <v>9.3800000000000008</v>
      </c>
      <c r="H23" s="22"/>
      <c r="I23" s="23"/>
      <c r="J23" s="24">
        <f>ROUND(F23*$J$17,2)</f>
        <v>15</v>
      </c>
      <c r="K23" s="24">
        <f>ROUND(F23*$K$17,2)</f>
        <v>5.71</v>
      </c>
      <c r="L23" s="24">
        <f>ROUND(F23*$L$17,2)</f>
        <v>1.39</v>
      </c>
      <c r="M23" s="25">
        <v>0</v>
      </c>
      <c r="N23" s="26">
        <f>ROUND(SUM(F23:M23),2)</f>
        <v>71.260000000000005</v>
      </c>
      <c r="O23" s="10"/>
      <c r="P23" s="10"/>
      <c r="Q23" s="10"/>
      <c r="R23" s="10"/>
    </row>
    <row r="24" spans="2:18" s="1" customFormat="1" ht="15.75" customHeight="1" x14ac:dyDescent="0.3">
      <c r="B24" s="19" t="s">
        <v>138</v>
      </c>
      <c r="C24" s="20">
        <v>1</v>
      </c>
      <c r="D24" s="20">
        <v>1</v>
      </c>
      <c r="E24" s="20">
        <f>G15</f>
        <v>0</v>
      </c>
      <c r="F24" s="21">
        <f>ROUND(C24*C$15+D24*D$15+E24*E$15,2)</f>
        <v>0.35</v>
      </c>
      <c r="G24" s="21">
        <f>ROUND(F24*G$17,2)</f>
        <v>0.08</v>
      </c>
      <c r="H24" s="22">
        <v>0.18</v>
      </c>
      <c r="I24" s="23"/>
      <c r="J24" s="24">
        <f>ROUND(F24*$J$17,2)</f>
        <v>0.13</v>
      </c>
      <c r="K24" s="24">
        <f>ROUND(F24*$K$17,2)</f>
        <v>0.05</v>
      </c>
      <c r="L24" s="24">
        <f>ROUND(F24*$L$17,2)</f>
        <v>0.01</v>
      </c>
      <c r="M24" s="25">
        <v>0.04</v>
      </c>
      <c r="N24" s="26">
        <f>ROUND(SUM(F24:M24),2)</f>
        <v>0.84</v>
      </c>
      <c r="O24" s="10"/>
      <c r="P24" s="10"/>
      <c r="Q24" s="10"/>
      <c r="R24" s="10"/>
    </row>
    <row r="25" spans="2:18" x14ac:dyDescent="0.3">
      <c r="L25" s="280" t="s">
        <v>139</v>
      </c>
      <c r="N25" s="26">
        <v>1.85</v>
      </c>
    </row>
    <row r="26" spans="2:18" ht="28" x14ac:dyDescent="0.3">
      <c r="M26" s="298" t="s">
        <v>140</v>
      </c>
      <c r="N26" s="299">
        <f>SUM(N21:N25)</f>
        <v>164.89999999999998</v>
      </c>
    </row>
  </sheetData>
  <mergeCells count="14">
    <mergeCell ref="H6:J6"/>
    <mergeCell ref="K6:M6"/>
    <mergeCell ref="H17:I17"/>
    <mergeCell ref="B18:B19"/>
    <mergeCell ref="C18:C19"/>
    <mergeCell ref="D18:D19"/>
    <mergeCell ref="E18:E19"/>
    <mergeCell ref="F2:G2"/>
    <mergeCell ref="F3:G3"/>
    <mergeCell ref="F4:G4"/>
    <mergeCell ref="B6:B7"/>
    <mergeCell ref="C6:C7"/>
    <mergeCell ref="D6:D7"/>
    <mergeCell ref="E6:G6"/>
  </mergeCells>
  <pageMargins left="0.7" right="0.7" top="0.75" bottom="0.75" header="0.3" footer="0.3"/>
  <pageSetup paperSize="9" scale="41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AE810-4CE6-4484-8C38-B3E865B67E76}">
  <dimension ref="B1:AI28"/>
  <sheetViews>
    <sheetView view="pageBreakPreview" zoomScale="60" zoomScaleNormal="100" workbookViewId="0">
      <selection activeCell="N1" sqref="N1"/>
    </sheetView>
  </sheetViews>
  <sheetFormatPr defaultColWidth="9.1796875" defaultRowHeight="14" x14ac:dyDescent="0.3"/>
  <cols>
    <col min="1" max="1" width="3.26953125" style="3" customWidth="1"/>
    <col min="2" max="2" width="41.81640625" style="74" customWidth="1"/>
    <col min="3" max="3" width="12" style="74" customWidth="1"/>
    <col min="4" max="4" width="16.54296875" style="74" customWidth="1"/>
    <col min="5" max="5" width="15.453125" style="106" customWidth="1"/>
    <col min="6" max="6" width="12.81640625" style="107" customWidth="1"/>
    <col min="7" max="7" width="12.81640625" style="115" customWidth="1"/>
    <col min="8" max="8" width="13.1796875" style="107" customWidth="1"/>
    <col min="9" max="9" width="13" style="92" customWidth="1"/>
    <col min="10" max="10" width="16.81640625" style="74" customWidth="1"/>
    <col min="11" max="11" width="13.7265625" style="74" customWidth="1"/>
    <col min="12" max="13" width="11" style="74" customWidth="1"/>
    <col min="14" max="14" width="14.54296875" style="74" customWidth="1"/>
    <col min="15" max="15" width="19.453125" style="1" customWidth="1"/>
    <col min="16" max="16" width="14.453125" style="1" customWidth="1"/>
    <col min="17" max="17" width="13.54296875" style="1" customWidth="1"/>
    <col min="18" max="18" width="14" style="1" customWidth="1"/>
    <col min="19" max="35" width="9.1796875" style="1"/>
    <col min="36" max="16384" width="9.1796875" style="3"/>
  </cols>
  <sheetData>
    <row r="1" spans="2:21" ht="14.5" thickBot="1" x14ac:dyDescent="0.35">
      <c r="N1" s="74" t="s">
        <v>185</v>
      </c>
    </row>
    <row r="2" spans="2:21" ht="48" customHeight="1" x14ac:dyDescent="0.3">
      <c r="B2" s="55" t="s">
        <v>177</v>
      </c>
      <c r="C2" s="55"/>
      <c r="D2" s="55"/>
      <c r="E2" s="55"/>
      <c r="F2" s="339" t="s">
        <v>128</v>
      </c>
      <c r="G2" s="339"/>
      <c r="H2" s="121" t="s">
        <v>40</v>
      </c>
      <c r="I2" s="69" t="s">
        <v>159</v>
      </c>
      <c r="J2" s="69" t="s">
        <v>160</v>
      </c>
      <c r="K2" s="55"/>
      <c r="L2" s="55"/>
      <c r="M2" s="55"/>
      <c r="N2" s="55"/>
    </row>
    <row r="3" spans="2:21" ht="66.75" customHeight="1" x14ac:dyDescent="0.3">
      <c r="B3" s="55"/>
      <c r="C3" s="55"/>
      <c r="D3" s="55"/>
      <c r="E3" s="55"/>
      <c r="F3" s="320" t="s">
        <v>150</v>
      </c>
      <c r="G3" s="320"/>
      <c r="H3" s="122">
        <v>4.5999999999999996</v>
      </c>
      <c r="I3" s="122">
        <v>5.4</v>
      </c>
      <c r="J3" s="122">
        <v>6</v>
      </c>
      <c r="K3" s="55"/>
      <c r="L3" s="55"/>
      <c r="M3" s="55"/>
      <c r="N3" s="71"/>
    </row>
    <row r="4" spans="2:21" x14ac:dyDescent="0.3">
      <c r="B4" s="55"/>
      <c r="C4" s="55"/>
      <c r="D4" s="55"/>
      <c r="E4" s="55"/>
      <c r="F4" s="319" t="s">
        <v>130</v>
      </c>
      <c r="G4" s="319"/>
      <c r="H4" s="72" t="s">
        <v>131</v>
      </c>
      <c r="I4" s="72">
        <v>5.4</v>
      </c>
      <c r="J4" s="72">
        <v>6</v>
      </c>
      <c r="K4" s="73"/>
      <c r="L4" s="55"/>
      <c r="M4" s="55"/>
      <c r="N4" s="55"/>
    </row>
    <row r="5" spans="2:21" ht="15" customHeight="1" x14ac:dyDescent="0.3">
      <c r="B5" s="55"/>
      <c r="C5" s="55"/>
      <c r="D5" s="55"/>
      <c r="E5" s="74"/>
      <c r="F5" s="75"/>
      <c r="G5" s="75"/>
      <c r="H5" s="76"/>
      <c r="I5" s="55"/>
      <c r="J5" s="77"/>
      <c r="K5" s="55"/>
      <c r="L5" s="55"/>
      <c r="M5" s="55"/>
      <c r="N5" s="55"/>
    </row>
    <row r="6" spans="2:21" ht="15" customHeight="1" x14ac:dyDescent="0.3">
      <c r="B6" s="314"/>
      <c r="C6" s="315" t="s">
        <v>43</v>
      </c>
      <c r="D6" s="315" t="s">
        <v>44</v>
      </c>
      <c r="E6" s="317"/>
      <c r="F6" s="317"/>
      <c r="G6" s="318"/>
      <c r="H6" s="303"/>
      <c r="I6" s="303"/>
      <c r="J6" s="303"/>
      <c r="K6" s="304"/>
      <c r="L6" s="304"/>
      <c r="M6" s="304"/>
      <c r="N6" s="55"/>
    </row>
    <row r="7" spans="2:21" s="1" customFormat="1" ht="39.75" customHeight="1" x14ac:dyDescent="0.3">
      <c r="B7" s="314"/>
      <c r="C7" s="316"/>
      <c r="D7" s="316"/>
      <c r="E7" s="79" t="s">
        <v>45</v>
      </c>
      <c r="F7" s="79" t="s">
        <v>132</v>
      </c>
      <c r="G7" s="119" t="s">
        <v>46</v>
      </c>
      <c r="H7" s="80"/>
      <c r="I7" s="80"/>
      <c r="J7" s="80"/>
      <c r="K7" s="80"/>
      <c r="L7" s="80"/>
      <c r="M7" s="80"/>
      <c r="N7" s="55"/>
    </row>
    <row r="8" spans="2:21" s="1" customFormat="1" x14ac:dyDescent="0.3">
      <c r="B8" s="123" t="s">
        <v>133</v>
      </c>
      <c r="C8" s="82">
        <v>1</v>
      </c>
      <c r="D8" s="124">
        <v>1</v>
      </c>
      <c r="E8" s="84">
        <f>C8*9600*12</f>
        <v>115200</v>
      </c>
      <c r="F8" s="85">
        <f>H3*365*0.75</f>
        <v>1259.2499999999998</v>
      </c>
      <c r="G8" s="120">
        <f>ROUND(E8/F8,0)</f>
        <v>91</v>
      </c>
      <c r="H8" s="76"/>
      <c r="I8" s="78"/>
      <c r="J8" s="87"/>
      <c r="K8" s="76"/>
      <c r="L8" s="55"/>
      <c r="M8" s="88"/>
      <c r="N8" s="55"/>
      <c r="R8" s="10"/>
      <c r="S8" s="10"/>
      <c r="T8" s="10"/>
      <c r="U8" s="10"/>
    </row>
    <row r="9" spans="2:21" s="1" customFormat="1" x14ac:dyDescent="0.3">
      <c r="B9" s="123" t="s">
        <v>172</v>
      </c>
      <c r="C9" s="82">
        <v>1</v>
      </c>
      <c r="D9" s="125">
        <v>1</v>
      </c>
      <c r="E9" s="84">
        <f>C9*9600*12</f>
        <v>115200</v>
      </c>
      <c r="F9" s="85">
        <f>I3*365*0.75</f>
        <v>1478.2500000000002</v>
      </c>
      <c r="G9" s="120">
        <f>ROUND(E9/F9,0)</f>
        <v>78</v>
      </c>
      <c r="H9" s="76"/>
      <c r="I9" s="78"/>
      <c r="J9" s="88"/>
      <c r="K9" s="76"/>
      <c r="L9" s="55"/>
      <c r="M9" s="88"/>
      <c r="N9" s="55"/>
    </row>
    <row r="10" spans="2:21" s="1" customFormat="1" ht="27" customHeight="1" x14ac:dyDescent="0.3">
      <c r="B10" s="81" t="s">
        <v>173</v>
      </c>
      <c r="C10" s="82">
        <v>1</v>
      </c>
      <c r="D10" s="125">
        <v>1</v>
      </c>
      <c r="E10" s="84">
        <f>C10*9600*12</f>
        <v>115200</v>
      </c>
      <c r="F10" s="85">
        <f>J3*365*0.75</f>
        <v>1642.5</v>
      </c>
      <c r="G10" s="120">
        <f>ROUND(E10/F10,0)</f>
        <v>70</v>
      </c>
      <c r="H10" s="76"/>
      <c r="I10" s="78"/>
      <c r="J10" s="88"/>
      <c r="K10" s="76"/>
      <c r="L10" s="55"/>
      <c r="M10" s="88"/>
      <c r="N10" s="55"/>
    </row>
    <row r="11" spans="2:21" s="1" customFormat="1" ht="16.5" customHeight="1" x14ac:dyDescent="0.3">
      <c r="B11" s="123" t="s">
        <v>174</v>
      </c>
      <c r="C11" s="82">
        <v>1</v>
      </c>
      <c r="D11" s="125">
        <v>1</v>
      </c>
      <c r="E11" s="84">
        <f t="shared" ref="E11:E12" si="0">C11*9600*12</f>
        <v>115200</v>
      </c>
      <c r="F11" s="85">
        <f>I4*365*0.75</f>
        <v>1478.2500000000002</v>
      </c>
      <c r="G11" s="120">
        <f t="shared" ref="G11:G12" si="1">ROUND(E11/F11,0)</f>
        <v>78</v>
      </c>
      <c r="H11" s="76"/>
      <c r="I11" s="78"/>
      <c r="J11" s="88"/>
      <c r="K11" s="76"/>
      <c r="L11" s="55"/>
      <c r="M11" s="88"/>
      <c r="N11" s="55"/>
    </row>
    <row r="12" spans="2:21" s="1" customFormat="1" ht="27" customHeight="1" x14ac:dyDescent="0.3">
      <c r="B12" s="81" t="s">
        <v>175</v>
      </c>
      <c r="C12" s="82">
        <v>1</v>
      </c>
      <c r="D12" s="125">
        <v>1</v>
      </c>
      <c r="E12" s="84">
        <f t="shared" si="0"/>
        <v>115200</v>
      </c>
      <c r="F12" s="85">
        <f>J4*365*0.75</f>
        <v>1642.5</v>
      </c>
      <c r="G12" s="120">
        <f t="shared" si="1"/>
        <v>70</v>
      </c>
      <c r="H12" s="76"/>
      <c r="I12" s="78"/>
      <c r="J12" s="88"/>
      <c r="K12" s="76"/>
      <c r="L12" s="55"/>
      <c r="M12" s="88"/>
      <c r="N12" s="55"/>
    </row>
    <row r="13" spans="2:21" s="1" customFormat="1" ht="15" customHeight="1" x14ac:dyDescent="0.3">
      <c r="B13" s="90"/>
      <c r="C13" s="91"/>
      <c r="D13" s="92"/>
      <c r="E13" s="55"/>
      <c r="F13" s="55"/>
      <c r="G13" s="52"/>
      <c r="H13" s="55"/>
      <c r="I13" s="55"/>
      <c r="J13" s="93"/>
      <c r="K13" s="94"/>
      <c r="L13" s="55"/>
      <c r="M13" s="55"/>
      <c r="N13" s="55"/>
    </row>
    <row r="14" spans="2:21" s="1" customFormat="1" ht="15" customHeight="1" x14ac:dyDescent="0.3">
      <c r="B14" s="81" t="s">
        <v>47</v>
      </c>
      <c r="C14" s="95">
        <v>2083</v>
      </c>
      <c r="D14" s="95">
        <v>1303</v>
      </c>
      <c r="E14" s="95">
        <v>865</v>
      </c>
      <c r="F14" s="55"/>
      <c r="G14" s="55"/>
      <c r="H14" s="55"/>
      <c r="I14" s="55"/>
      <c r="J14" s="55"/>
      <c r="K14" s="55"/>
      <c r="L14" s="55"/>
      <c r="M14" s="55"/>
      <c r="N14" s="55"/>
    </row>
    <row r="15" spans="2:21" s="1" customFormat="1" ht="15" customHeight="1" x14ac:dyDescent="0.3">
      <c r="B15" s="96" t="s">
        <v>134</v>
      </c>
      <c r="C15" s="97">
        <f>ROUND(C14/9600,4)</f>
        <v>0.217</v>
      </c>
      <c r="D15" s="97">
        <f>ROUND(D14/9600,4)</f>
        <v>0.13569999999999999</v>
      </c>
      <c r="E15" s="97">
        <f>ROUND(E14/9600,4)</f>
        <v>9.01E-2</v>
      </c>
      <c r="F15" s="55"/>
      <c r="G15" s="55"/>
      <c r="H15" s="55"/>
      <c r="I15" s="55"/>
      <c r="J15" s="55"/>
      <c r="K15" s="55"/>
      <c r="L15" s="55"/>
      <c r="M15" s="55"/>
      <c r="N15" s="55"/>
    </row>
    <row r="16" spans="2:21" s="1" customFormat="1" ht="15" customHeight="1" x14ac:dyDescent="0.3">
      <c r="B16" s="98" t="s">
        <v>130</v>
      </c>
      <c r="C16" s="99"/>
      <c r="D16" s="99">
        <f>'[1]Darba algas'!BE9</f>
        <v>0.17519999999999999</v>
      </c>
      <c r="E16" s="99">
        <f>'[1]Darba algas'!BE12</f>
        <v>0.1149</v>
      </c>
      <c r="F16" s="55"/>
      <c r="G16" s="55"/>
      <c r="H16" s="55"/>
      <c r="I16" s="55"/>
      <c r="J16" s="55"/>
      <c r="K16" s="55"/>
      <c r="L16" s="55"/>
      <c r="M16" s="55"/>
      <c r="N16" s="55"/>
    </row>
    <row r="17" spans="2:18" s="1" customFormat="1" ht="38.25" customHeight="1" x14ac:dyDescent="0.3">
      <c r="B17" s="100" t="s">
        <v>135</v>
      </c>
      <c r="C17" s="101">
        <f>'[1]Darba algas'!BE5</f>
        <v>0.2319</v>
      </c>
      <c r="D17" s="101">
        <f>'[1]Darba algas'!BE8</f>
        <v>0.14280000000000001</v>
      </c>
      <c r="E17" s="101">
        <f>'[1]Darba algas'!BE11</f>
        <v>9.3600000000000003E-2</v>
      </c>
      <c r="F17" s="55"/>
      <c r="G17" s="126">
        <v>0.2359</v>
      </c>
      <c r="H17" s="305" t="s">
        <v>48</v>
      </c>
      <c r="I17" s="306"/>
      <c r="J17" s="103">
        <v>0.37709999999999999</v>
      </c>
      <c r="K17" s="103">
        <v>0.14349999999999999</v>
      </c>
      <c r="L17" s="103">
        <v>3.49E-2</v>
      </c>
      <c r="M17" s="93"/>
      <c r="N17" s="104" t="s">
        <v>49</v>
      </c>
      <c r="Q17" s="10"/>
    </row>
    <row r="18" spans="2:18" s="1" customFormat="1" ht="12.75" customHeight="1" x14ac:dyDescent="0.3">
      <c r="B18" s="307"/>
      <c r="C18" s="309" t="s">
        <v>50</v>
      </c>
      <c r="D18" s="311" t="s">
        <v>176</v>
      </c>
      <c r="E18" s="309" t="s">
        <v>176</v>
      </c>
      <c r="F18" s="69" t="s">
        <v>8</v>
      </c>
      <c r="G18" s="69" t="s">
        <v>9</v>
      </c>
      <c r="H18" s="69" t="s">
        <v>10</v>
      </c>
      <c r="I18" s="69" t="s">
        <v>11</v>
      </c>
      <c r="J18" s="69" t="s">
        <v>12</v>
      </c>
      <c r="K18" s="69" t="s">
        <v>13</v>
      </c>
      <c r="L18" s="69" t="s">
        <v>14</v>
      </c>
      <c r="M18" s="69" t="s">
        <v>51</v>
      </c>
      <c r="N18" s="69" t="s">
        <v>52</v>
      </c>
      <c r="Q18" s="10"/>
    </row>
    <row r="19" spans="2:18" s="1" customFormat="1" ht="34.5" customHeight="1" x14ac:dyDescent="0.3">
      <c r="B19" s="308"/>
      <c r="C19" s="310"/>
      <c r="D19" s="310"/>
      <c r="E19" s="310"/>
      <c r="F19" s="69" t="s">
        <v>1</v>
      </c>
      <c r="G19" s="69" t="s">
        <v>2</v>
      </c>
      <c r="H19" s="69" t="s">
        <v>3</v>
      </c>
      <c r="I19" s="69" t="s">
        <v>4</v>
      </c>
      <c r="J19" s="69" t="s">
        <v>5</v>
      </c>
      <c r="K19" s="69" t="s">
        <v>6</v>
      </c>
      <c r="L19" s="105" t="s">
        <v>53</v>
      </c>
      <c r="M19" s="69" t="s">
        <v>7</v>
      </c>
      <c r="N19" s="69"/>
    </row>
    <row r="20" spans="2:18" x14ac:dyDescent="0.3">
      <c r="F20" s="107">
        <f t="shared" ref="F20:M20" si="2">SUM(F21:F24)</f>
        <v>82.789999999999992</v>
      </c>
      <c r="G20" s="107">
        <f t="shared" si="2"/>
        <v>19.53</v>
      </c>
      <c r="H20" s="107">
        <f t="shared" si="2"/>
        <v>18.23</v>
      </c>
      <c r="I20" s="107">
        <f t="shared" si="2"/>
        <v>7</v>
      </c>
      <c r="J20" s="107">
        <f t="shared" si="2"/>
        <v>31.23</v>
      </c>
      <c r="K20" s="107">
        <f t="shared" si="2"/>
        <v>11.889999999999999</v>
      </c>
      <c r="L20" s="107">
        <f t="shared" si="2"/>
        <v>2.8899999999999997</v>
      </c>
      <c r="M20" s="107">
        <f t="shared" si="2"/>
        <v>0.62000000000000011</v>
      </c>
      <c r="P20" s="7"/>
      <c r="Q20" s="18"/>
      <c r="R20" s="7"/>
    </row>
    <row r="21" spans="2:18" s="1" customFormat="1" ht="15.75" customHeight="1" x14ac:dyDescent="0.3">
      <c r="B21" s="108" t="s">
        <v>151</v>
      </c>
      <c r="C21" s="109">
        <f>G8</f>
        <v>91</v>
      </c>
      <c r="D21" s="109">
        <f>G9</f>
        <v>78</v>
      </c>
      <c r="E21" s="109">
        <f>G10</f>
        <v>70</v>
      </c>
      <c r="F21" s="110">
        <f>ROUND(C21*C$17+D21*D$17+E21*E$17,2)</f>
        <v>38.79</v>
      </c>
      <c r="G21" s="110">
        <f>ROUND(F21*G$17,2)</f>
        <v>9.15</v>
      </c>
      <c r="H21" s="111">
        <v>16.25</v>
      </c>
      <c r="I21" s="112">
        <v>7</v>
      </c>
      <c r="J21" s="113">
        <f>ROUND(F21*$J$17,2)</f>
        <v>14.63</v>
      </c>
      <c r="K21" s="113">
        <f>ROUND(F21*$K$17,2)</f>
        <v>5.57</v>
      </c>
      <c r="L21" s="113">
        <f>ROUND(F21*$L$17,2)</f>
        <v>1.35</v>
      </c>
      <c r="M21" s="114">
        <v>0.06</v>
      </c>
      <c r="N21" s="46">
        <f>ROUND(SUM(F21:M21),2)</f>
        <v>92.8</v>
      </c>
      <c r="O21" s="10"/>
      <c r="P21" s="10"/>
      <c r="Q21" s="10"/>
      <c r="R21" s="10"/>
    </row>
    <row r="22" spans="2:18" s="1" customFormat="1" ht="15.75" customHeight="1" x14ac:dyDescent="0.3">
      <c r="B22" s="108" t="s">
        <v>152</v>
      </c>
      <c r="C22" s="109">
        <f>C21</f>
        <v>91</v>
      </c>
      <c r="D22" s="109"/>
      <c r="E22" s="109"/>
      <c r="F22" s="110">
        <f>ROUND(C22*C$17+D22*D$17+E22*E$17,2)</f>
        <v>21.1</v>
      </c>
      <c r="G22" s="110">
        <f>ROUND(F22*G$17,2)</f>
        <v>4.9800000000000004</v>
      </c>
      <c r="H22" s="111"/>
      <c r="I22" s="112"/>
      <c r="J22" s="113">
        <f>ROUND(F22*$J$17,2)</f>
        <v>7.96</v>
      </c>
      <c r="K22" s="113">
        <f>ROUND(F22*$K$17,2)</f>
        <v>3.03</v>
      </c>
      <c r="L22" s="113">
        <f>ROUND(F22*$L$17,2)</f>
        <v>0.74</v>
      </c>
      <c r="M22" s="114">
        <v>0</v>
      </c>
      <c r="N22" s="46">
        <f>ROUND(SUM(F22:M22),2)</f>
        <v>37.81</v>
      </c>
      <c r="O22" s="10"/>
      <c r="P22" s="10"/>
      <c r="Q22" s="10"/>
      <c r="R22" s="10"/>
    </row>
    <row r="23" spans="2:18" s="1" customFormat="1" ht="15.75" customHeight="1" x14ac:dyDescent="0.3">
      <c r="B23" s="108" t="s">
        <v>130</v>
      </c>
      <c r="C23" s="109"/>
      <c r="D23" s="109">
        <f>G11</f>
        <v>78</v>
      </c>
      <c r="E23" s="109">
        <f>G12</f>
        <v>70</v>
      </c>
      <c r="F23" s="110">
        <f>ROUND(C23*C$16+D23*D$16+E23*E$16,2)</f>
        <v>21.71</v>
      </c>
      <c r="G23" s="110">
        <f>ROUND(F23*G$17,2)</f>
        <v>5.12</v>
      </c>
      <c r="H23" s="111"/>
      <c r="I23" s="112"/>
      <c r="J23" s="113">
        <f>ROUND(F23*$J$17,2)</f>
        <v>8.19</v>
      </c>
      <c r="K23" s="113">
        <f>ROUND(F23*$K$17,2)</f>
        <v>3.12</v>
      </c>
      <c r="L23" s="113">
        <f>ROUND(F23*$L$17,2)</f>
        <v>0.76</v>
      </c>
      <c r="M23" s="114">
        <v>0</v>
      </c>
      <c r="N23" s="46">
        <f>ROUND(SUM(F23:M23),2)</f>
        <v>38.9</v>
      </c>
      <c r="O23" s="10"/>
      <c r="P23" s="10"/>
      <c r="Q23" s="10"/>
      <c r="R23" s="10"/>
    </row>
    <row r="24" spans="2:18" s="1" customFormat="1" ht="15.75" customHeight="1" x14ac:dyDescent="0.3">
      <c r="B24" s="108" t="s">
        <v>138</v>
      </c>
      <c r="C24" s="109">
        <v>3</v>
      </c>
      <c r="D24" s="109">
        <v>4</v>
      </c>
      <c r="E24" s="109">
        <f>G15</f>
        <v>0</v>
      </c>
      <c r="F24" s="110">
        <f>ROUND(C24*C$15+D24*D$15+E24*E$15,2)</f>
        <v>1.19</v>
      </c>
      <c r="G24" s="110">
        <f>ROUND(F24*G$17,2)</f>
        <v>0.28000000000000003</v>
      </c>
      <c r="H24" s="111">
        <v>1.98</v>
      </c>
      <c r="I24" s="112"/>
      <c r="J24" s="113">
        <f>ROUND(F24*$J$17,2)</f>
        <v>0.45</v>
      </c>
      <c r="K24" s="113">
        <f>ROUND(F24*$K$17,2)</f>
        <v>0.17</v>
      </c>
      <c r="L24" s="113">
        <f>ROUND(F24*$L$17,2)</f>
        <v>0.04</v>
      </c>
      <c r="M24" s="114">
        <v>0.56000000000000005</v>
      </c>
      <c r="N24" s="46">
        <f>ROUND(SUM(F24:M24),2)</f>
        <v>4.67</v>
      </c>
      <c r="O24" s="10"/>
      <c r="P24" s="10"/>
      <c r="Q24" s="10"/>
      <c r="R24" s="10"/>
    </row>
    <row r="25" spans="2:18" ht="14.5" thickBot="1" x14ac:dyDescent="0.35">
      <c r="L25" s="74" t="s">
        <v>139</v>
      </c>
      <c r="N25" s="46">
        <v>0.88</v>
      </c>
    </row>
    <row r="26" spans="2:18" ht="28.5" thickBot="1" x14ac:dyDescent="0.35">
      <c r="M26" s="116" t="s">
        <v>140</v>
      </c>
      <c r="N26" s="127">
        <f>SUM(N21:N25)</f>
        <v>175.06</v>
      </c>
    </row>
    <row r="28" spans="2:18" x14ac:dyDescent="0.3">
      <c r="N28" s="128"/>
    </row>
  </sheetData>
  <mergeCells count="14">
    <mergeCell ref="H6:J6"/>
    <mergeCell ref="K6:M6"/>
    <mergeCell ref="H17:I17"/>
    <mergeCell ref="B18:B19"/>
    <mergeCell ref="C18:C19"/>
    <mergeCell ref="D18:D19"/>
    <mergeCell ref="E18:E19"/>
    <mergeCell ref="F2:G2"/>
    <mergeCell ref="F3:G3"/>
    <mergeCell ref="F4:G4"/>
    <mergeCell ref="B6:B7"/>
    <mergeCell ref="C6:C7"/>
    <mergeCell ref="D6:D7"/>
    <mergeCell ref="E6:G6"/>
  </mergeCells>
  <pageMargins left="0.7" right="0.7" top="0.75" bottom="0.75" header="0.3" footer="0.3"/>
  <pageSetup paperSize="9" scale="38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273AD-4907-4D8B-9B3D-18D631A1B53B}">
  <dimension ref="B1:AI26"/>
  <sheetViews>
    <sheetView view="pageBreakPreview" zoomScale="60" zoomScaleNormal="100" workbookViewId="0">
      <selection activeCell="B1" sqref="B1:N1048576"/>
    </sheetView>
  </sheetViews>
  <sheetFormatPr defaultColWidth="9.1796875" defaultRowHeight="14" x14ac:dyDescent="0.3"/>
  <cols>
    <col min="1" max="1" width="3.26953125" style="3" customWidth="1"/>
    <col min="2" max="2" width="41.81640625" style="74" customWidth="1"/>
    <col min="3" max="3" width="12" style="74" customWidth="1"/>
    <col min="4" max="4" width="16.54296875" style="74" customWidth="1"/>
    <col min="5" max="5" width="15.453125" style="106" customWidth="1"/>
    <col min="6" max="6" width="12.81640625" style="107" customWidth="1"/>
    <col min="7" max="7" width="12.81640625" style="115" customWidth="1"/>
    <col min="8" max="8" width="13.1796875" style="107" customWidth="1"/>
    <col min="9" max="9" width="13" style="92" customWidth="1"/>
    <col min="10" max="10" width="16.81640625" style="74" customWidth="1"/>
    <col min="11" max="11" width="13.7265625" style="74" customWidth="1"/>
    <col min="12" max="13" width="11" style="74" customWidth="1"/>
    <col min="14" max="14" width="14.54296875" style="74" customWidth="1"/>
    <col min="15" max="15" width="19.453125" style="1" customWidth="1"/>
    <col min="16" max="16" width="14.453125" style="1" customWidth="1"/>
    <col min="17" max="17" width="13.54296875" style="1" customWidth="1"/>
    <col min="18" max="18" width="14" style="1" customWidth="1"/>
    <col min="19" max="35" width="9.1796875" style="1"/>
    <col min="36" max="16384" width="9.1796875" style="3"/>
  </cols>
  <sheetData>
    <row r="1" spans="2:21" x14ac:dyDescent="0.3">
      <c r="N1" s="74" t="s">
        <v>186</v>
      </c>
    </row>
    <row r="2" spans="2:21" ht="48" customHeight="1" x14ac:dyDescent="0.3">
      <c r="B2" s="55" t="s">
        <v>150</v>
      </c>
      <c r="C2" s="55"/>
      <c r="D2" s="55"/>
      <c r="E2" s="55"/>
      <c r="F2" s="312" t="s">
        <v>128</v>
      </c>
      <c r="G2" s="312"/>
      <c r="H2" s="279" t="s">
        <v>40</v>
      </c>
      <c r="I2" s="69" t="s">
        <v>159</v>
      </c>
      <c r="J2" s="69" t="s">
        <v>160</v>
      </c>
      <c r="K2" s="55"/>
      <c r="L2" s="55"/>
      <c r="M2" s="55"/>
      <c r="N2" s="55"/>
    </row>
    <row r="3" spans="2:21" ht="66.75" customHeight="1" x14ac:dyDescent="0.3">
      <c r="B3" s="55"/>
      <c r="C3" s="55"/>
      <c r="D3" s="55"/>
      <c r="E3" s="55"/>
      <c r="F3" s="320" t="s">
        <v>150</v>
      </c>
      <c r="G3" s="320"/>
      <c r="H3" s="118">
        <v>10</v>
      </c>
      <c r="I3" s="118">
        <v>10</v>
      </c>
      <c r="J3" s="118">
        <v>10</v>
      </c>
      <c r="K3" s="55"/>
      <c r="L3" s="55"/>
      <c r="M3" s="55"/>
      <c r="N3" s="71"/>
    </row>
    <row r="4" spans="2:21" x14ac:dyDescent="0.3">
      <c r="B4" s="55"/>
      <c r="C4" s="55"/>
      <c r="D4" s="55"/>
      <c r="E4" s="55"/>
      <c r="F4" s="319" t="s">
        <v>130</v>
      </c>
      <c r="G4" s="319"/>
      <c r="H4" s="72" t="s">
        <v>131</v>
      </c>
      <c r="I4" s="72">
        <v>10</v>
      </c>
      <c r="J4" s="72">
        <v>10</v>
      </c>
      <c r="K4" s="73"/>
      <c r="L4" s="55"/>
      <c r="M4" s="55"/>
      <c r="N4" s="55"/>
    </row>
    <row r="5" spans="2:21" ht="15" customHeight="1" x14ac:dyDescent="0.3">
      <c r="B5" s="55"/>
      <c r="C5" s="55"/>
      <c r="D5" s="55"/>
      <c r="E5" s="74"/>
      <c r="F5" s="75"/>
      <c r="G5" s="75"/>
      <c r="H5" s="76"/>
      <c r="I5" s="55"/>
      <c r="J5" s="77"/>
      <c r="K5" s="55"/>
      <c r="L5" s="55"/>
      <c r="M5" s="55"/>
      <c r="N5" s="55"/>
    </row>
    <row r="6" spans="2:21" ht="15" customHeight="1" x14ac:dyDescent="0.3">
      <c r="B6" s="314"/>
      <c r="C6" s="315" t="s">
        <v>43</v>
      </c>
      <c r="D6" s="315" t="s">
        <v>44</v>
      </c>
      <c r="E6" s="317"/>
      <c r="F6" s="317"/>
      <c r="G6" s="318"/>
      <c r="H6" s="303"/>
      <c r="I6" s="303"/>
      <c r="J6" s="303"/>
      <c r="K6" s="304"/>
      <c r="L6" s="304"/>
      <c r="M6" s="304"/>
      <c r="N6" s="55"/>
    </row>
    <row r="7" spans="2:21" s="1" customFormat="1" ht="12.75" customHeight="1" x14ac:dyDescent="0.3">
      <c r="B7" s="314"/>
      <c r="C7" s="316"/>
      <c r="D7" s="316"/>
      <c r="E7" s="79" t="s">
        <v>45</v>
      </c>
      <c r="F7" s="79" t="s">
        <v>132</v>
      </c>
      <c r="G7" s="119" t="s">
        <v>46</v>
      </c>
      <c r="H7" s="80"/>
      <c r="I7" s="80"/>
      <c r="J7" s="80"/>
      <c r="K7" s="80"/>
      <c r="L7" s="80"/>
      <c r="M7" s="80"/>
      <c r="N7" s="55"/>
    </row>
    <row r="8" spans="2:21" s="1" customFormat="1" x14ac:dyDescent="0.3">
      <c r="B8" s="81" t="s">
        <v>133</v>
      </c>
      <c r="C8" s="82">
        <v>1</v>
      </c>
      <c r="D8" s="83">
        <v>1</v>
      </c>
      <c r="E8" s="84">
        <f>C8*9600*12</f>
        <v>115200</v>
      </c>
      <c r="F8" s="85">
        <f>H3*365*0.75</f>
        <v>2737.5</v>
      </c>
      <c r="G8" s="120">
        <f>ROUND(E8/F8,0)</f>
        <v>42</v>
      </c>
      <c r="H8" s="76"/>
      <c r="I8" s="78"/>
      <c r="J8" s="87"/>
      <c r="K8" s="76"/>
      <c r="L8" s="55"/>
      <c r="M8" s="88"/>
      <c r="N8" s="55"/>
      <c r="R8" s="10"/>
      <c r="S8" s="10"/>
      <c r="T8" s="10"/>
      <c r="U8" s="10"/>
    </row>
    <row r="9" spans="2:21" s="1" customFormat="1" ht="28" x14ac:dyDescent="0.3">
      <c r="B9" s="81" t="s">
        <v>165</v>
      </c>
      <c r="C9" s="82">
        <v>1</v>
      </c>
      <c r="D9" s="89">
        <v>1</v>
      </c>
      <c r="E9" s="84">
        <f>C9*9600*12</f>
        <v>115200</v>
      </c>
      <c r="F9" s="85">
        <f>I3*365*0.75</f>
        <v>2737.5</v>
      </c>
      <c r="G9" s="120">
        <f>ROUND(E9/F9,0)</f>
        <v>42</v>
      </c>
      <c r="H9" s="76"/>
      <c r="I9" s="78"/>
      <c r="J9" s="88"/>
      <c r="K9" s="76"/>
      <c r="L9" s="55"/>
      <c r="M9" s="88"/>
      <c r="N9" s="55"/>
    </row>
    <row r="10" spans="2:21" s="1" customFormat="1" ht="27" customHeight="1" x14ac:dyDescent="0.3">
      <c r="B10" s="81" t="s">
        <v>164</v>
      </c>
      <c r="C10" s="82">
        <v>1</v>
      </c>
      <c r="D10" s="89">
        <v>1</v>
      </c>
      <c r="E10" s="84">
        <f>C10*9600*12</f>
        <v>115200</v>
      </c>
      <c r="F10" s="85">
        <f>J3*365*0.75</f>
        <v>2737.5</v>
      </c>
      <c r="G10" s="120">
        <f>ROUND(E10/F10,0)</f>
        <v>42</v>
      </c>
      <c r="H10" s="76"/>
      <c r="I10" s="78"/>
      <c r="J10" s="88"/>
      <c r="K10" s="76"/>
      <c r="L10" s="55"/>
      <c r="M10" s="88"/>
      <c r="N10" s="55"/>
    </row>
    <row r="11" spans="2:21" s="1" customFormat="1" ht="16.5" customHeight="1" x14ac:dyDescent="0.3">
      <c r="B11" s="81" t="s">
        <v>166</v>
      </c>
      <c r="C11" s="82">
        <v>1</v>
      </c>
      <c r="D11" s="89">
        <v>1</v>
      </c>
      <c r="E11" s="84">
        <f t="shared" ref="E11:E12" si="0">C11*9600*12</f>
        <v>115200</v>
      </c>
      <c r="F11" s="85">
        <f>I4*365*0.75</f>
        <v>2737.5</v>
      </c>
      <c r="G11" s="120">
        <f t="shared" ref="G11:G12" si="1">ROUND(E11/F11,0)</f>
        <v>42</v>
      </c>
      <c r="H11" s="76"/>
      <c r="I11" s="78"/>
      <c r="J11" s="88"/>
      <c r="K11" s="76"/>
      <c r="L11" s="55"/>
      <c r="M11" s="88"/>
      <c r="N11" s="55"/>
    </row>
    <row r="12" spans="2:21" s="1" customFormat="1" ht="27" customHeight="1" x14ac:dyDescent="0.3">
      <c r="B12" s="81" t="s">
        <v>167</v>
      </c>
      <c r="C12" s="82">
        <v>1</v>
      </c>
      <c r="D12" s="89">
        <v>1</v>
      </c>
      <c r="E12" s="84">
        <f t="shared" si="0"/>
        <v>115200</v>
      </c>
      <c r="F12" s="85">
        <f>J4*365*0.75</f>
        <v>2737.5</v>
      </c>
      <c r="G12" s="120">
        <f t="shared" si="1"/>
        <v>42</v>
      </c>
      <c r="H12" s="76"/>
      <c r="I12" s="78"/>
      <c r="J12" s="88"/>
      <c r="K12" s="76"/>
      <c r="L12" s="55"/>
      <c r="M12" s="88"/>
      <c r="N12" s="55"/>
    </row>
    <row r="13" spans="2:21" s="1" customFormat="1" ht="15" customHeight="1" x14ac:dyDescent="0.3">
      <c r="B13" s="90"/>
      <c r="C13" s="91"/>
      <c r="D13" s="92"/>
      <c r="E13" s="55"/>
      <c r="F13" s="55"/>
      <c r="G13" s="52"/>
      <c r="H13" s="55"/>
      <c r="I13" s="55"/>
      <c r="J13" s="93"/>
      <c r="K13" s="94"/>
      <c r="L13" s="55"/>
      <c r="M13" s="55"/>
      <c r="N13" s="55"/>
    </row>
    <row r="14" spans="2:21" s="1" customFormat="1" ht="15" customHeight="1" x14ac:dyDescent="0.3">
      <c r="B14" s="81" t="s">
        <v>47</v>
      </c>
      <c r="C14" s="95">
        <v>2083</v>
      </c>
      <c r="D14" s="95">
        <v>1303</v>
      </c>
      <c r="E14" s="95">
        <v>865</v>
      </c>
      <c r="F14" s="55"/>
      <c r="G14" s="55"/>
      <c r="H14" s="55"/>
      <c r="I14" s="55"/>
      <c r="J14" s="55"/>
      <c r="K14" s="55"/>
      <c r="L14" s="55"/>
      <c r="M14" s="55"/>
      <c r="N14" s="55"/>
    </row>
    <row r="15" spans="2:21" s="1" customFormat="1" ht="15" customHeight="1" x14ac:dyDescent="0.3">
      <c r="B15" s="96" t="s">
        <v>134</v>
      </c>
      <c r="C15" s="97">
        <f>ROUND(C14/9600,4)</f>
        <v>0.217</v>
      </c>
      <c r="D15" s="97">
        <f>ROUND(D14/9600,4)</f>
        <v>0.13569999999999999</v>
      </c>
      <c r="E15" s="97">
        <f>ROUND(E14/9600,4)</f>
        <v>9.01E-2</v>
      </c>
      <c r="F15" s="55"/>
      <c r="G15" s="55"/>
      <c r="H15" s="55"/>
      <c r="I15" s="55"/>
      <c r="J15" s="55"/>
      <c r="K15" s="55"/>
      <c r="L15" s="55"/>
      <c r="M15" s="55"/>
      <c r="N15" s="55"/>
    </row>
    <row r="16" spans="2:21" s="1" customFormat="1" ht="15" customHeight="1" x14ac:dyDescent="0.3">
      <c r="B16" s="98" t="s">
        <v>130</v>
      </c>
      <c r="C16" s="99"/>
      <c r="D16" s="99">
        <f>'Darba algas'!BE11</f>
        <v>0.17519999999999999</v>
      </c>
      <c r="E16" s="99">
        <f>'Darba algas'!BE14</f>
        <v>0.1149</v>
      </c>
      <c r="F16" s="55"/>
      <c r="G16" s="55"/>
      <c r="H16" s="55"/>
      <c r="I16" s="55"/>
      <c r="J16" s="55"/>
      <c r="K16" s="55"/>
      <c r="L16" s="55"/>
      <c r="M16" s="55"/>
      <c r="N16" s="55"/>
    </row>
    <row r="17" spans="2:18" s="1" customFormat="1" ht="38.25" customHeight="1" x14ac:dyDescent="0.3">
      <c r="B17" s="100" t="s">
        <v>135</v>
      </c>
      <c r="C17" s="101">
        <f>'Darba algas'!BE7</f>
        <v>0.2319</v>
      </c>
      <c r="D17" s="101">
        <f>'Darba algas'!BE10</f>
        <v>0.14280000000000001</v>
      </c>
      <c r="E17" s="101">
        <f>'Darba algas'!BE13</f>
        <v>9.3600000000000003E-2</v>
      </c>
      <c r="F17" s="55"/>
      <c r="G17" s="102">
        <v>0.2359</v>
      </c>
      <c r="H17" s="305" t="s">
        <v>48</v>
      </c>
      <c r="I17" s="306"/>
      <c r="J17" s="103">
        <v>0.37709999999999999</v>
      </c>
      <c r="K17" s="103">
        <v>0.14349999999999999</v>
      </c>
      <c r="L17" s="103">
        <v>3.49E-2</v>
      </c>
      <c r="M17" s="93"/>
      <c r="N17" s="104" t="s">
        <v>49</v>
      </c>
      <c r="Q17" s="10"/>
    </row>
    <row r="18" spans="2:18" s="1" customFormat="1" ht="12.75" customHeight="1" x14ac:dyDescent="0.3">
      <c r="B18" s="307"/>
      <c r="C18" s="309" t="s">
        <v>50</v>
      </c>
      <c r="D18" s="311" t="s">
        <v>168</v>
      </c>
      <c r="E18" s="309" t="s">
        <v>169</v>
      </c>
      <c r="F18" s="69" t="s">
        <v>8</v>
      </c>
      <c r="G18" s="69" t="s">
        <v>9</v>
      </c>
      <c r="H18" s="69" t="s">
        <v>10</v>
      </c>
      <c r="I18" s="69" t="s">
        <v>11</v>
      </c>
      <c r="J18" s="69" t="s">
        <v>12</v>
      </c>
      <c r="K18" s="69" t="s">
        <v>13</v>
      </c>
      <c r="L18" s="69" t="s">
        <v>14</v>
      </c>
      <c r="M18" s="69" t="s">
        <v>51</v>
      </c>
      <c r="N18" s="69" t="s">
        <v>52</v>
      </c>
      <c r="Q18" s="10"/>
    </row>
    <row r="19" spans="2:18" s="1" customFormat="1" ht="34.5" customHeight="1" x14ac:dyDescent="0.3">
      <c r="B19" s="308"/>
      <c r="C19" s="310"/>
      <c r="D19" s="310"/>
      <c r="E19" s="310"/>
      <c r="F19" s="69" t="s">
        <v>1</v>
      </c>
      <c r="G19" s="69" t="s">
        <v>2</v>
      </c>
      <c r="H19" s="69" t="s">
        <v>3</v>
      </c>
      <c r="I19" s="69" t="s">
        <v>4</v>
      </c>
      <c r="J19" s="69" t="s">
        <v>5</v>
      </c>
      <c r="K19" s="69" t="s">
        <v>6</v>
      </c>
      <c r="L19" s="105" t="s">
        <v>53</v>
      </c>
      <c r="M19" s="69" t="s">
        <v>7</v>
      </c>
      <c r="N19" s="69"/>
    </row>
    <row r="20" spans="2:18" x14ac:dyDescent="0.3">
      <c r="F20" s="107">
        <f t="shared" ref="F20:M20" si="2">SUM(F21:F24)</f>
        <v>42.78</v>
      </c>
      <c r="G20" s="107">
        <f t="shared" si="2"/>
        <v>10.089999999999998</v>
      </c>
      <c r="H20" s="107">
        <f t="shared" si="2"/>
        <v>10.23</v>
      </c>
      <c r="I20" s="107">
        <f t="shared" si="2"/>
        <v>7</v>
      </c>
      <c r="J20" s="107">
        <f t="shared" si="2"/>
        <v>16.13</v>
      </c>
      <c r="K20" s="107">
        <f t="shared" si="2"/>
        <v>6.14</v>
      </c>
      <c r="L20" s="107">
        <f t="shared" si="2"/>
        <v>1.5</v>
      </c>
      <c r="M20" s="107">
        <f t="shared" si="2"/>
        <v>0.62000000000000011</v>
      </c>
      <c r="P20" s="7"/>
      <c r="Q20" s="18"/>
      <c r="R20" s="7"/>
    </row>
    <row r="21" spans="2:18" s="1" customFormat="1" ht="15.75" customHeight="1" x14ac:dyDescent="0.3">
      <c r="B21" s="108" t="s">
        <v>151</v>
      </c>
      <c r="C21" s="109">
        <f>G8</f>
        <v>42</v>
      </c>
      <c r="D21" s="109">
        <f>G9</f>
        <v>42</v>
      </c>
      <c r="E21" s="109">
        <f>G10</f>
        <v>42</v>
      </c>
      <c r="F21" s="110">
        <f>ROUND(C21*C$17+D21*D$17+E21*E$17,2)</f>
        <v>19.670000000000002</v>
      </c>
      <c r="G21" s="110">
        <f>ROUND(F21*G$17,2)</f>
        <v>4.6399999999999997</v>
      </c>
      <c r="H21" s="111">
        <v>8.25</v>
      </c>
      <c r="I21" s="112">
        <v>7</v>
      </c>
      <c r="J21" s="113">
        <f>ROUND(F21*$J$17,2)</f>
        <v>7.42</v>
      </c>
      <c r="K21" s="113">
        <f>ROUND(F21*$K$17,2)</f>
        <v>2.82</v>
      </c>
      <c r="L21" s="113">
        <f>ROUND(F21*$L$17,2)</f>
        <v>0.69</v>
      </c>
      <c r="M21" s="114">
        <v>0.06</v>
      </c>
      <c r="N21" s="46">
        <f>ROUND(SUM(F21:M21),2)</f>
        <v>50.55</v>
      </c>
      <c r="O21" s="10"/>
      <c r="P21" s="10"/>
      <c r="Q21" s="10"/>
      <c r="R21" s="10"/>
    </row>
    <row r="22" spans="2:18" s="1" customFormat="1" ht="15.75" customHeight="1" x14ac:dyDescent="0.3">
      <c r="B22" s="108" t="s">
        <v>152</v>
      </c>
      <c r="C22" s="109">
        <f>C21</f>
        <v>42</v>
      </c>
      <c r="D22" s="109"/>
      <c r="E22" s="109"/>
      <c r="F22" s="110">
        <f>ROUND(C22*C$17+D22*D$17+E22*E$17,2)</f>
        <v>9.74</v>
      </c>
      <c r="G22" s="110">
        <f>ROUND(F22*G$17,2)</f>
        <v>2.2999999999999998</v>
      </c>
      <c r="H22" s="111"/>
      <c r="I22" s="112"/>
      <c r="J22" s="113">
        <f>ROUND(F22*$J$17,2)</f>
        <v>3.67</v>
      </c>
      <c r="K22" s="113">
        <f>ROUND(F22*$K$17,2)</f>
        <v>1.4</v>
      </c>
      <c r="L22" s="113">
        <f>ROUND(F22*$L$17,2)</f>
        <v>0.34</v>
      </c>
      <c r="M22" s="114">
        <v>0</v>
      </c>
      <c r="N22" s="46">
        <f>ROUND(SUM(F22:M22),2)</f>
        <v>17.45</v>
      </c>
      <c r="O22" s="10"/>
      <c r="P22" s="10"/>
      <c r="Q22" s="10"/>
      <c r="R22" s="10"/>
    </row>
    <row r="23" spans="2:18" s="1" customFormat="1" ht="15.75" customHeight="1" x14ac:dyDescent="0.3">
      <c r="B23" s="108" t="s">
        <v>130</v>
      </c>
      <c r="C23" s="109"/>
      <c r="D23" s="109">
        <f>G11</f>
        <v>42</v>
      </c>
      <c r="E23" s="109">
        <f>G12</f>
        <v>42</v>
      </c>
      <c r="F23" s="110">
        <f>ROUND(C23*C$16+D23*D$16+E23*E$16,2)</f>
        <v>12.18</v>
      </c>
      <c r="G23" s="110">
        <f>ROUND(F23*G$17,2)</f>
        <v>2.87</v>
      </c>
      <c r="H23" s="111"/>
      <c r="I23" s="112"/>
      <c r="J23" s="113">
        <f>ROUND(F23*$J$17,2)</f>
        <v>4.59</v>
      </c>
      <c r="K23" s="113">
        <f>ROUND(F23*$K$17,2)</f>
        <v>1.75</v>
      </c>
      <c r="L23" s="113">
        <f>ROUND(F23*$L$17,2)</f>
        <v>0.43</v>
      </c>
      <c r="M23" s="114">
        <v>0</v>
      </c>
      <c r="N23" s="46">
        <f>ROUND(SUM(F23:M23),2)</f>
        <v>21.82</v>
      </c>
      <c r="O23" s="10"/>
      <c r="P23" s="10"/>
      <c r="Q23" s="10"/>
      <c r="R23" s="10"/>
    </row>
    <row r="24" spans="2:18" s="1" customFormat="1" ht="15.75" customHeight="1" x14ac:dyDescent="0.3">
      <c r="B24" s="108" t="s">
        <v>138</v>
      </c>
      <c r="C24" s="109">
        <v>3</v>
      </c>
      <c r="D24" s="109">
        <v>4</v>
      </c>
      <c r="E24" s="109">
        <f>G15</f>
        <v>0</v>
      </c>
      <c r="F24" s="110">
        <f>ROUND(C24*C$15+D24*D$15+E24*E$15,2)</f>
        <v>1.19</v>
      </c>
      <c r="G24" s="110">
        <f>ROUND(F24*G$17,2)</f>
        <v>0.28000000000000003</v>
      </c>
      <c r="H24" s="111">
        <v>1.98</v>
      </c>
      <c r="I24" s="112"/>
      <c r="J24" s="113">
        <f>ROUND(F24*$J$17,2)</f>
        <v>0.45</v>
      </c>
      <c r="K24" s="113">
        <f>ROUND(F24*$K$17,2)</f>
        <v>0.17</v>
      </c>
      <c r="L24" s="113">
        <f>ROUND(F24*$L$17,2)</f>
        <v>0.04</v>
      </c>
      <c r="M24" s="114">
        <v>0.56000000000000005</v>
      </c>
      <c r="N24" s="46">
        <f>ROUND(SUM(F24:M24),2)</f>
        <v>4.67</v>
      </c>
      <c r="O24" s="10"/>
      <c r="P24" s="10"/>
      <c r="Q24" s="10"/>
      <c r="R24" s="10"/>
    </row>
    <row r="25" spans="2:18" x14ac:dyDescent="0.3">
      <c r="L25" s="74" t="s">
        <v>139</v>
      </c>
      <c r="N25" s="46">
        <v>0.88</v>
      </c>
    </row>
    <row r="26" spans="2:18" ht="28" x14ac:dyDescent="0.3">
      <c r="M26" s="116" t="s">
        <v>140</v>
      </c>
      <c r="N26" s="117">
        <f>SUM(N21:N25)</f>
        <v>95.36999999999999</v>
      </c>
    </row>
  </sheetData>
  <mergeCells count="14">
    <mergeCell ref="H6:J6"/>
    <mergeCell ref="K6:M6"/>
    <mergeCell ref="H17:I17"/>
    <mergeCell ref="B18:B19"/>
    <mergeCell ref="C18:C19"/>
    <mergeCell ref="D18:D19"/>
    <mergeCell ref="E18:E19"/>
    <mergeCell ref="F2:G2"/>
    <mergeCell ref="F3:G3"/>
    <mergeCell ref="F4:G4"/>
    <mergeCell ref="B6:B7"/>
    <mergeCell ref="C6:C7"/>
    <mergeCell ref="D6:D7"/>
    <mergeCell ref="E6:G6"/>
  </mergeCells>
  <pageMargins left="0.7" right="0.7" top="0.75" bottom="0.75" header="0.3" footer="0.3"/>
  <pageSetup paperSize="9" scale="41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B4AD2-406F-4046-8C88-B3D880A84FCE}">
  <dimension ref="B1:AI26"/>
  <sheetViews>
    <sheetView view="pageBreakPreview" zoomScale="60" zoomScaleNormal="100" workbookViewId="0">
      <selection activeCell="B1" sqref="B1:N1048576"/>
    </sheetView>
  </sheetViews>
  <sheetFormatPr defaultColWidth="9.1796875" defaultRowHeight="14" x14ac:dyDescent="0.3"/>
  <cols>
    <col min="1" max="1" width="3.26953125" style="3" customWidth="1"/>
    <col min="2" max="2" width="41.81640625" style="74" customWidth="1"/>
    <col min="3" max="3" width="12" style="74" customWidth="1"/>
    <col min="4" max="4" width="16.54296875" style="74" customWidth="1"/>
    <col min="5" max="5" width="15.453125" style="106" customWidth="1"/>
    <col min="6" max="6" width="12.81640625" style="107" customWidth="1"/>
    <col min="7" max="7" width="12.81640625" style="115" customWidth="1"/>
    <col min="8" max="8" width="13.1796875" style="107" customWidth="1"/>
    <col min="9" max="9" width="13" style="92" customWidth="1"/>
    <col min="10" max="10" width="16.81640625" style="74" customWidth="1"/>
    <col min="11" max="11" width="13.7265625" style="74" customWidth="1"/>
    <col min="12" max="13" width="11" style="74" customWidth="1"/>
    <col min="14" max="14" width="14.54296875" style="74" customWidth="1"/>
    <col min="15" max="15" width="19.453125" style="1" customWidth="1"/>
    <col min="16" max="16" width="14.453125" style="1" customWidth="1"/>
    <col min="17" max="17" width="13.54296875" style="1" customWidth="1"/>
    <col min="18" max="18" width="14" style="1" customWidth="1"/>
    <col min="19" max="35" width="9.1796875" style="1"/>
    <col min="36" max="16384" width="9.1796875" style="3"/>
  </cols>
  <sheetData>
    <row r="1" spans="2:21" x14ac:dyDescent="0.3">
      <c r="N1" s="74" t="s">
        <v>187</v>
      </c>
    </row>
    <row r="2" spans="2:21" ht="48" customHeight="1" x14ac:dyDescent="0.3">
      <c r="B2" s="55" t="s">
        <v>153</v>
      </c>
      <c r="C2" s="55"/>
      <c r="D2" s="55"/>
      <c r="E2" s="55"/>
      <c r="F2" s="312" t="s">
        <v>128</v>
      </c>
      <c r="G2" s="312"/>
      <c r="H2" s="279" t="s">
        <v>41</v>
      </c>
      <c r="I2" s="69" t="s">
        <v>159</v>
      </c>
      <c r="J2" s="69" t="s">
        <v>160</v>
      </c>
      <c r="K2" s="55"/>
      <c r="L2" s="55"/>
      <c r="M2" s="55"/>
      <c r="N2" s="55"/>
    </row>
    <row r="3" spans="2:21" ht="66.75" customHeight="1" x14ac:dyDescent="0.3">
      <c r="B3" s="55"/>
      <c r="C3" s="55"/>
      <c r="D3" s="55"/>
      <c r="E3" s="55"/>
      <c r="F3" s="320" t="s">
        <v>153</v>
      </c>
      <c r="G3" s="320"/>
      <c r="H3" s="118">
        <v>10</v>
      </c>
      <c r="I3" s="118">
        <v>10</v>
      </c>
      <c r="J3" s="118">
        <v>10</v>
      </c>
      <c r="K3" s="55"/>
      <c r="L3" s="55"/>
      <c r="M3" s="55"/>
      <c r="N3" s="71"/>
    </row>
    <row r="4" spans="2:21" x14ac:dyDescent="0.3">
      <c r="B4" s="55"/>
      <c r="C4" s="55"/>
      <c r="D4" s="55"/>
      <c r="E4" s="55"/>
      <c r="F4" s="319" t="s">
        <v>130</v>
      </c>
      <c r="G4" s="319"/>
      <c r="H4" s="72" t="s">
        <v>131</v>
      </c>
      <c r="I4" s="72">
        <v>10</v>
      </c>
      <c r="J4" s="72">
        <v>10</v>
      </c>
      <c r="K4" s="73"/>
      <c r="L4" s="55"/>
      <c r="M4" s="55"/>
      <c r="N4" s="55"/>
    </row>
    <row r="5" spans="2:21" ht="15" customHeight="1" x14ac:dyDescent="0.3">
      <c r="B5" s="55"/>
      <c r="C5" s="55"/>
      <c r="D5" s="55"/>
      <c r="E5" s="74"/>
      <c r="F5" s="75"/>
      <c r="G5" s="75"/>
      <c r="H5" s="76"/>
      <c r="I5" s="55"/>
      <c r="J5" s="77"/>
      <c r="K5" s="55"/>
      <c r="L5" s="55"/>
      <c r="M5" s="55"/>
      <c r="N5" s="55"/>
    </row>
    <row r="6" spans="2:21" ht="15" customHeight="1" x14ac:dyDescent="0.3">
      <c r="B6" s="314"/>
      <c r="C6" s="315" t="s">
        <v>43</v>
      </c>
      <c r="D6" s="315" t="s">
        <v>44</v>
      </c>
      <c r="E6" s="317"/>
      <c r="F6" s="317"/>
      <c r="G6" s="318"/>
      <c r="H6" s="303"/>
      <c r="I6" s="303"/>
      <c r="J6" s="303"/>
      <c r="K6" s="304"/>
      <c r="L6" s="304"/>
      <c r="M6" s="304"/>
      <c r="N6" s="55"/>
    </row>
    <row r="7" spans="2:21" s="1" customFormat="1" ht="12.75" customHeight="1" x14ac:dyDescent="0.3">
      <c r="B7" s="314"/>
      <c r="C7" s="316"/>
      <c r="D7" s="316"/>
      <c r="E7" s="79" t="s">
        <v>45</v>
      </c>
      <c r="F7" s="79" t="s">
        <v>132</v>
      </c>
      <c r="G7" s="119" t="s">
        <v>46</v>
      </c>
      <c r="H7" s="80"/>
      <c r="I7" s="80"/>
      <c r="J7" s="80"/>
      <c r="K7" s="80"/>
      <c r="L7" s="80"/>
      <c r="M7" s="80"/>
      <c r="N7" s="55"/>
    </row>
    <row r="8" spans="2:21" s="1" customFormat="1" x14ac:dyDescent="0.3">
      <c r="B8" s="81" t="s">
        <v>133</v>
      </c>
      <c r="C8" s="82">
        <v>1</v>
      </c>
      <c r="D8" s="83">
        <v>1</v>
      </c>
      <c r="E8" s="84">
        <f>C8*9600*12</f>
        <v>115200</v>
      </c>
      <c r="F8" s="85">
        <f>H3*365*0.75</f>
        <v>2737.5</v>
      </c>
      <c r="G8" s="120">
        <f>ROUND(E8/F8,0)</f>
        <v>42</v>
      </c>
      <c r="H8" s="76"/>
      <c r="I8" s="78"/>
      <c r="J8" s="87"/>
      <c r="K8" s="76"/>
      <c r="L8" s="55"/>
      <c r="M8" s="88"/>
      <c r="N8" s="55"/>
      <c r="R8" s="10"/>
      <c r="S8" s="10"/>
      <c r="T8" s="10"/>
      <c r="U8" s="10"/>
    </row>
    <row r="9" spans="2:21" s="1" customFormat="1" ht="28" x14ac:dyDescent="0.3">
      <c r="B9" s="81" t="s">
        <v>165</v>
      </c>
      <c r="C9" s="82">
        <v>1</v>
      </c>
      <c r="D9" s="89">
        <v>1</v>
      </c>
      <c r="E9" s="84">
        <f>C9*9600*12</f>
        <v>115200</v>
      </c>
      <c r="F9" s="85">
        <f>I3*365*0.75</f>
        <v>2737.5</v>
      </c>
      <c r="G9" s="120">
        <f>ROUND(E9/F9,0)</f>
        <v>42</v>
      </c>
      <c r="H9" s="76"/>
      <c r="I9" s="78"/>
      <c r="J9" s="88"/>
      <c r="K9" s="76"/>
      <c r="L9" s="55"/>
      <c r="M9" s="88"/>
      <c r="N9" s="55"/>
    </row>
    <row r="10" spans="2:21" s="1" customFormat="1" ht="27" customHeight="1" x14ac:dyDescent="0.3">
      <c r="B10" s="81" t="s">
        <v>164</v>
      </c>
      <c r="C10" s="82">
        <v>1</v>
      </c>
      <c r="D10" s="89">
        <v>1</v>
      </c>
      <c r="E10" s="84">
        <f>C10*9600*12</f>
        <v>115200</v>
      </c>
      <c r="F10" s="85">
        <f>J3*365*0.75</f>
        <v>2737.5</v>
      </c>
      <c r="G10" s="120">
        <f>ROUND(E10/F10,0)</f>
        <v>42</v>
      </c>
      <c r="H10" s="76"/>
      <c r="I10" s="78"/>
      <c r="J10" s="88"/>
      <c r="K10" s="76"/>
      <c r="L10" s="55"/>
      <c r="M10" s="88"/>
      <c r="N10" s="55"/>
    </row>
    <row r="11" spans="2:21" s="1" customFormat="1" ht="16.5" customHeight="1" x14ac:dyDescent="0.3">
      <c r="B11" s="81" t="s">
        <v>166</v>
      </c>
      <c r="C11" s="82">
        <v>1</v>
      </c>
      <c r="D11" s="89">
        <v>1</v>
      </c>
      <c r="E11" s="84">
        <f t="shared" ref="E11:E12" si="0">C11*9600*12</f>
        <v>115200</v>
      </c>
      <c r="F11" s="85">
        <f>I4*365*0.75</f>
        <v>2737.5</v>
      </c>
      <c r="G11" s="120">
        <f t="shared" ref="G11:G12" si="1">ROUND(E11/F11,0)</f>
        <v>42</v>
      </c>
      <c r="H11" s="76"/>
      <c r="I11" s="78"/>
      <c r="J11" s="88"/>
      <c r="K11" s="76"/>
      <c r="L11" s="55"/>
      <c r="M11" s="88"/>
      <c r="N11" s="55"/>
    </row>
    <row r="12" spans="2:21" s="1" customFormat="1" ht="27" customHeight="1" x14ac:dyDescent="0.3">
      <c r="B12" s="81" t="s">
        <v>167</v>
      </c>
      <c r="C12" s="82">
        <v>1</v>
      </c>
      <c r="D12" s="89">
        <v>1</v>
      </c>
      <c r="E12" s="84">
        <f t="shared" si="0"/>
        <v>115200</v>
      </c>
      <c r="F12" s="85">
        <f>J4*365*0.75</f>
        <v>2737.5</v>
      </c>
      <c r="G12" s="120">
        <f t="shared" si="1"/>
        <v>42</v>
      </c>
      <c r="H12" s="76"/>
      <c r="I12" s="78"/>
      <c r="J12" s="88"/>
      <c r="K12" s="76"/>
      <c r="L12" s="55"/>
      <c r="M12" s="88"/>
      <c r="N12" s="55"/>
    </row>
    <row r="13" spans="2:21" s="1" customFormat="1" ht="15" customHeight="1" x14ac:dyDescent="0.3">
      <c r="B13" s="90"/>
      <c r="C13" s="91"/>
      <c r="D13" s="92"/>
      <c r="E13" s="55"/>
      <c r="F13" s="55"/>
      <c r="G13" s="52"/>
      <c r="H13" s="55"/>
      <c r="I13" s="55"/>
      <c r="J13" s="93"/>
      <c r="K13" s="94"/>
      <c r="L13" s="55"/>
      <c r="M13" s="55"/>
      <c r="N13" s="55"/>
    </row>
    <row r="14" spans="2:21" s="1" customFormat="1" ht="15" customHeight="1" x14ac:dyDescent="0.3">
      <c r="B14" s="81" t="s">
        <v>47</v>
      </c>
      <c r="C14" s="95">
        <v>2083</v>
      </c>
      <c r="D14" s="95">
        <v>1303</v>
      </c>
      <c r="E14" s="95">
        <v>865</v>
      </c>
      <c r="F14" s="55"/>
      <c r="G14" s="55"/>
      <c r="H14" s="55"/>
      <c r="I14" s="55"/>
      <c r="J14" s="55"/>
      <c r="K14" s="55"/>
      <c r="L14" s="55"/>
      <c r="M14" s="55"/>
      <c r="N14" s="55"/>
    </row>
    <row r="15" spans="2:21" s="1" customFormat="1" ht="15" customHeight="1" x14ac:dyDescent="0.3">
      <c r="B15" s="96" t="s">
        <v>134</v>
      </c>
      <c r="C15" s="97">
        <f>ROUND(C14/9600,4)</f>
        <v>0.217</v>
      </c>
      <c r="D15" s="97">
        <f>ROUND(D14/9600,4)</f>
        <v>0.13569999999999999</v>
      </c>
      <c r="E15" s="97">
        <f>ROUND(E14/9600,4)</f>
        <v>9.01E-2</v>
      </c>
      <c r="F15" s="55"/>
      <c r="G15" s="55"/>
      <c r="H15" s="55"/>
      <c r="I15" s="55"/>
      <c r="J15" s="55"/>
      <c r="K15" s="55"/>
      <c r="L15" s="55"/>
      <c r="M15" s="55"/>
      <c r="N15" s="55"/>
    </row>
    <row r="16" spans="2:21" s="1" customFormat="1" ht="15" customHeight="1" x14ac:dyDescent="0.3">
      <c r="B16" s="98" t="s">
        <v>130</v>
      </c>
      <c r="C16" s="99"/>
      <c r="D16" s="99">
        <f>'Darba algas'!BE11</f>
        <v>0.17519999999999999</v>
      </c>
      <c r="E16" s="99">
        <f>'Darba algas'!BE14</f>
        <v>0.1149</v>
      </c>
      <c r="F16" s="55"/>
      <c r="G16" s="55"/>
      <c r="H16" s="55"/>
      <c r="I16" s="55"/>
      <c r="J16" s="55"/>
      <c r="K16" s="55"/>
      <c r="L16" s="55"/>
      <c r="M16" s="55"/>
      <c r="N16" s="55"/>
    </row>
    <row r="17" spans="2:18" s="1" customFormat="1" ht="38.25" customHeight="1" x14ac:dyDescent="0.3">
      <c r="B17" s="100" t="s">
        <v>135</v>
      </c>
      <c r="C17" s="101">
        <f>'Darba algas'!BE7</f>
        <v>0.2319</v>
      </c>
      <c r="D17" s="101">
        <f>'Darba algas'!BE10</f>
        <v>0.14280000000000001</v>
      </c>
      <c r="E17" s="101">
        <f>'Darba algas'!BE13</f>
        <v>9.3600000000000003E-2</v>
      </c>
      <c r="F17" s="55"/>
      <c r="G17" s="102">
        <v>0.2359</v>
      </c>
      <c r="H17" s="305" t="s">
        <v>48</v>
      </c>
      <c r="I17" s="306"/>
      <c r="J17" s="103">
        <v>0.37709999999999999</v>
      </c>
      <c r="K17" s="103">
        <v>0.14349999999999999</v>
      </c>
      <c r="L17" s="103">
        <v>3.49E-2</v>
      </c>
      <c r="M17" s="93"/>
      <c r="N17" s="104" t="s">
        <v>49</v>
      </c>
      <c r="Q17" s="10"/>
    </row>
    <row r="18" spans="2:18" s="1" customFormat="1" ht="12.75" customHeight="1" x14ac:dyDescent="0.3">
      <c r="B18" s="307"/>
      <c r="C18" s="309" t="s">
        <v>50</v>
      </c>
      <c r="D18" s="311" t="s">
        <v>168</v>
      </c>
      <c r="E18" s="309" t="s">
        <v>169</v>
      </c>
      <c r="F18" s="69" t="s">
        <v>8</v>
      </c>
      <c r="G18" s="69" t="s">
        <v>9</v>
      </c>
      <c r="H18" s="69" t="s">
        <v>10</v>
      </c>
      <c r="I18" s="69" t="s">
        <v>11</v>
      </c>
      <c r="J18" s="69" t="s">
        <v>12</v>
      </c>
      <c r="K18" s="69" t="s">
        <v>13</v>
      </c>
      <c r="L18" s="69" t="s">
        <v>14</v>
      </c>
      <c r="M18" s="69" t="s">
        <v>51</v>
      </c>
      <c r="N18" s="69" t="s">
        <v>52</v>
      </c>
      <c r="Q18" s="10"/>
    </row>
    <row r="19" spans="2:18" s="1" customFormat="1" ht="34.5" customHeight="1" x14ac:dyDescent="0.3">
      <c r="B19" s="308"/>
      <c r="C19" s="310"/>
      <c r="D19" s="310"/>
      <c r="E19" s="310"/>
      <c r="F19" s="69" t="s">
        <v>1</v>
      </c>
      <c r="G19" s="69" t="s">
        <v>2</v>
      </c>
      <c r="H19" s="69" t="s">
        <v>3</v>
      </c>
      <c r="I19" s="69" t="s">
        <v>4</v>
      </c>
      <c r="J19" s="69" t="s">
        <v>5</v>
      </c>
      <c r="K19" s="69" t="s">
        <v>6</v>
      </c>
      <c r="L19" s="105" t="s">
        <v>53</v>
      </c>
      <c r="M19" s="69" t="s">
        <v>7</v>
      </c>
      <c r="N19" s="69"/>
    </row>
    <row r="20" spans="2:18" x14ac:dyDescent="0.3">
      <c r="F20" s="107">
        <f t="shared" ref="F20:M20" si="2">SUM(F21:F24)</f>
        <v>39.379999999999995</v>
      </c>
      <c r="G20" s="107">
        <f t="shared" si="2"/>
        <v>9.2900000000000009</v>
      </c>
      <c r="H20" s="107">
        <f t="shared" si="2"/>
        <v>11.25</v>
      </c>
      <c r="I20" s="107">
        <f t="shared" si="2"/>
        <v>7</v>
      </c>
      <c r="J20" s="107">
        <f t="shared" si="2"/>
        <v>14.85</v>
      </c>
      <c r="K20" s="107">
        <f t="shared" si="2"/>
        <v>5.6499999999999995</v>
      </c>
      <c r="L20" s="107">
        <f t="shared" si="2"/>
        <v>1.3800000000000001</v>
      </c>
      <c r="M20" s="107">
        <f t="shared" si="2"/>
        <v>12.69</v>
      </c>
      <c r="P20" s="7"/>
      <c r="Q20" s="18"/>
      <c r="R20" s="7"/>
    </row>
    <row r="21" spans="2:18" s="1" customFormat="1" ht="15.75" customHeight="1" x14ac:dyDescent="0.3">
      <c r="B21" s="108" t="s">
        <v>154</v>
      </c>
      <c r="C21" s="109">
        <f>G8</f>
        <v>42</v>
      </c>
      <c r="D21" s="109">
        <f>G9</f>
        <v>42</v>
      </c>
      <c r="E21" s="109">
        <f>G10</f>
        <v>42</v>
      </c>
      <c r="F21" s="110">
        <f>ROUND(C21*C$17+D21*D$17+E21*E$17,2)</f>
        <v>19.670000000000002</v>
      </c>
      <c r="G21" s="110">
        <f>ROUND(F21*G$17,2)</f>
        <v>4.6399999999999997</v>
      </c>
      <c r="H21" s="111">
        <v>8.25</v>
      </c>
      <c r="I21" s="112">
        <v>7</v>
      </c>
      <c r="J21" s="113">
        <f>ROUND(F21*$J$17,2)</f>
        <v>7.42</v>
      </c>
      <c r="K21" s="113">
        <f>ROUND(F21*$K$17,2)</f>
        <v>2.82</v>
      </c>
      <c r="L21" s="113">
        <f>ROUND(F21*$L$17,2)</f>
        <v>0.69</v>
      </c>
      <c r="M21" s="114">
        <v>9.94</v>
      </c>
      <c r="N21" s="46">
        <f>ROUND(SUM(F21:M21),2)</f>
        <v>60.43</v>
      </c>
      <c r="O21" s="10"/>
      <c r="P21" s="10"/>
      <c r="Q21" s="10"/>
      <c r="R21" s="10"/>
    </row>
    <row r="22" spans="2:18" s="1" customFormat="1" ht="15.75" customHeight="1" x14ac:dyDescent="0.3">
      <c r="B22" s="108" t="s">
        <v>144</v>
      </c>
      <c r="C22" s="109">
        <f>C21/2</f>
        <v>21</v>
      </c>
      <c r="D22" s="109"/>
      <c r="E22" s="109"/>
      <c r="F22" s="110">
        <f>ROUND(C22*C$17+D22*D$17+E22*E$17,2)</f>
        <v>4.87</v>
      </c>
      <c r="G22" s="110">
        <f>ROUND(F22*G$17,2)</f>
        <v>1.1499999999999999</v>
      </c>
      <c r="H22" s="111"/>
      <c r="I22" s="112"/>
      <c r="J22" s="113">
        <f>ROUND(F22*$J$17,2)</f>
        <v>1.84</v>
      </c>
      <c r="K22" s="113">
        <f>ROUND(F22*$K$17,2)</f>
        <v>0.7</v>
      </c>
      <c r="L22" s="113">
        <f>ROUND(F22*$L$17,2)</f>
        <v>0.17</v>
      </c>
      <c r="M22" s="114">
        <v>0</v>
      </c>
      <c r="N22" s="46">
        <f>ROUND(SUM(F22:M22),2)</f>
        <v>8.73</v>
      </c>
      <c r="O22" s="10"/>
      <c r="P22" s="10"/>
      <c r="Q22" s="10"/>
      <c r="R22" s="10"/>
    </row>
    <row r="23" spans="2:18" s="1" customFormat="1" ht="15.75" customHeight="1" x14ac:dyDescent="0.3">
      <c r="B23" s="108" t="s">
        <v>130</v>
      </c>
      <c r="C23" s="109"/>
      <c r="D23" s="109">
        <f>G11</f>
        <v>42</v>
      </c>
      <c r="E23" s="109">
        <f>G12</f>
        <v>42</v>
      </c>
      <c r="F23" s="110">
        <f>ROUND(C23*C$16+D23*D$16+E23*E$16,2)</f>
        <v>12.18</v>
      </c>
      <c r="G23" s="110">
        <f>ROUND(F23*G$17,2)</f>
        <v>2.87</v>
      </c>
      <c r="H23" s="111"/>
      <c r="I23" s="112"/>
      <c r="J23" s="113">
        <f>ROUND(F23*$J$17,2)</f>
        <v>4.59</v>
      </c>
      <c r="K23" s="113">
        <f>ROUND(F23*$K$17,2)</f>
        <v>1.75</v>
      </c>
      <c r="L23" s="113">
        <f>ROUND(F23*$L$17,2)</f>
        <v>0.43</v>
      </c>
      <c r="M23" s="114">
        <v>0</v>
      </c>
      <c r="N23" s="46">
        <f>ROUND(SUM(F23:M23),2)</f>
        <v>21.82</v>
      </c>
      <c r="O23" s="10"/>
      <c r="P23" s="10"/>
      <c r="Q23" s="10"/>
      <c r="R23" s="10"/>
    </row>
    <row r="24" spans="2:18" s="1" customFormat="1" ht="15.75" customHeight="1" x14ac:dyDescent="0.3">
      <c r="B24" s="108" t="s">
        <v>138</v>
      </c>
      <c r="C24" s="109">
        <v>6</v>
      </c>
      <c r="D24" s="109">
        <v>10</v>
      </c>
      <c r="E24" s="109">
        <f>G15</f>
        <v>0</v>
      </c>
      <c r="F24" s="110">
        <f>ROUND(C24*C$15+D24*D$15+E24*E$15,2)</f>
        <v>2.66</v>
      </c>
      <c r="G24" s="110">
        <f>ROUND(F24*G$17,2)</f>
        <v>0.63</v>
      </c>
      <c r="H24" s="111">
        <v>3</v>
      </c>
      <c r="I24" s="112"/>
      <c r="J24" s="113">
        <f>ROUND(F24*$J$17,2)</f>
        <v>1</v>
      </c>
      <c r="K24" s="113">
        <f>ROUND(F24*$K$17,2)</f>
        <v>0.38</v>
      </c>
      <c r="L24" s="113">
        <f>ROUND(F24*$L$17,2)</f>
        <v>0.09</v>
      </c>
      <c r="M24" s="114">
        <v>2.75</v>
      </c>
      <c r="N24" s="46">
        <f>ROUND(SUM(F24:M24),2)</f>
        <v>10.51</v>
      </c>
      <c r="O24" s="10"/>
      <c r="P24" s="10"/>
      <c r="Q24" s="10"/>
      <c r="R24" s="10"/>
    </row>
    <row r="25" spans="2:18" x14ac:dyDescent="0.3">
      <c r="L25" s="74" t="s">
        <v>139</v>
      </c>
      <c r="N25" s="46">
        <v>2.4700000000000002</v>
      </c>
    </row>
    <row r="26" spans="2:18" ht="28" x14ac:dyDescent="0.3">
      <c r="M26" s="116" t="s">
        <v>140</v>
      </c>
      <c r="N26" s="117">
        <f>SUM(N21:N25)</f>
        <v>103.96</v>
      </c>
    </row>
  </sheetData>
  <mergeCells count="14">
    <mergeCell ref="H6:J6"/>
    <mergeCell ref="K6:M6"/>
    <mergeCell ref="H17:I17"/>
    <mergeCell ref="B18:B19"/>
    <mergeCell ref="C18:C19"/>
    <mergeCell ref="D18:D19"/>
    <mergeCell ref="E18:E19"/>
    <mergeCell ref="F2:G2"/>
    <mergeCell ref="F3:G3"/>
    <mergeCell ref="F4:G4"/>
    <mergeCell ref="B6:B7"/>
    <mergeCell ref="C6:C7"/>
    <mergeCell ref="D6:D7"/>
    <mergeCell ref="E6:G6"/>
  </mergeCells>
  <pageMargins left="0.7" right="0.7" top="0.75" bottom="0.75" header="0.3" footer="0.3"/>
  <pageSetup paperSize="9" scale="41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B1C4C-3CDC-41FD-A3E9-D5B2C6B36DF2}">
  <dimension ref="B1:AI26"/>
  <sheetViews>
    <sheetView view="pageBreakPreview" zoomScale="60" zoomScaleNormal="100" workbookViewId="0">
      <selection activeCell="B1" sqref="B1:N1048576"/>
    </sheetView>
  </sheetViews>
  <sheetFormatPr defaultColWidth="9.1796875" defaultRowHeight="14" x14ac:dyDescent="0.3"/>
  <cols>
    <col min="1" max="1" width="3.26953125" style="3" customWidth="1"/>
    <col min="2" max="2" width="41.81640625" style="74" customWidth="1"/>
    <col min="3" max="3" width="20.453125" style="74" customWidth="1"/>
    <col min="4" max="4" width="16.54296875" style="74" customWidth="1"/>
    <col min="5" max="5" width="15.453125" style="106" customWidth="1"/>
    <col min="6" max="6" width="12.81640625" style="107" customWidth="1"/>
    <col min="7" max="7" width="12.81640625" style="115" customWidth="1"/>
    <col min="8" max="8" width="13.1796875" style="107" customWidth="1"/>
    <col min="9" max="9" width="13" style="92" customWidth="1"/>
    <col min="10" max="10" width="16.81640625" style="74" customWidth="1"/>
    <col min="11" max="11" width="13.7265625" style="74" customWidth="1"/>
    <col min="12" max="13" width="11" style="74" customWidth="1"/>
    <col min="14" max="14" width="14.54296875" style="74" customWidth="1"/>
    <col min="15" max="15" width="19.453125" style="1" customWidth="1"/>
    <col min="16" max="16" width="14.453125" style="1" customWidth="1"/>
    <col min="17" max="17" width="13.54296875" style="1" customWidth="1"/>
    <col min="18" max="18" width="14" style="1" customWidth="1"/>
    <col min="19" max="35" width="9.1796875" style="1"/>
    <col min="36" max="16384" width="9.1796875" style="3"/>
  </cols>
  <sheetData>
    <row r="1" spans="2:21" x14ac:dyDescent="0.3">
      <c r="N1" s="74" t="s">
        <v>188</v>
      </c>
    </row>
    <row r="2" spans="2:21" ht="48" customHeight="1" x14ac:dyDescent="0.45">
      <c r="B2" s="277" t="s">
        <v>155</v>
      </c>
      <c r="C2" s="55"/>
      <c r="D2" s="55"/>
      <c r="E2" s="55"/>
      <c r="F2" s="312" t="s">
        <v>128</v>
      </c>
      <c r="G2" s="312"/>
      <c r="H2" s="278" t="s">
        <v>42</v>
      </c>
      <c r="I2" s="69" t="s">
        <v>159</v>
      </c>
      <c r="J2" s="69" t="s">
        <v>160</v>
      </c>
      <c r="K2" s="55"/>
      <c r="L2" s="55"/>
      <c r="M2" s="55"/>
      <c r="N2" s="55"/>
    </row>
    <row r="3" spans="2:21" ht="66.75" customHeight="1" x14ac:dyDescent="0.3">
      <c r="B3" s="55"/>
      <c r="C3" s="55"/>
      <c r="D3" s="55"/>
      <c r="E3" s="55"/>
      <c r="F3" s="320" t="s">
        <v>156</v>
      </c>
      <c r="G3" s="320"/>
      <c r="H3" s="118">
        <v>6</v>
      </c>
      <c r="I3" s="118">
        <v>6</v>
      </c>
      <c r="J3" s="118">
        <v>6</v>
      </c>
      <c r="K3" s="55"/>
      <c r="L3" s="55"/>
      <c r="M3" s="55"/>
      <c r="N3" s="71"/>
    </row>
    <row r="4" spans="2:21" x14ac:dyDescent="0.3">
      <c r="B4" s="55"/>
      <c r="C4" s="55"/>
      <c r="D4" s="55"/>
      <c r="E4" s="55"/>
      <c r="F4" s="319" t="s">
        <v>130</v>
      </c>
      <c r="G4" s="319"/>
      <c r="H4" s="72" t="s">
        <v>131</v>
      </c>
      <c r="I4" s="72">
        <v>6</v>
      </c>
      <c r="J4" s="72">
        <v>6</v>
      </c>
      <c r="K4" s="73"/>
      <c r="L4" s="55"/>
      <c r="M4" s="55"/>
      <c r="N4" s="55"/>
    </row>
    <row r="5" spans="2:21" ht="15" customHeight="1" x14ac:dyDescent="0.3">
      <c r="B5" s="55"/>
      <c r="C5" s="55"/>
      <c r="D5" s="55"/>
      <c r="E5" s="74"/>
      <c r="F5" s="75"/>
      <c r="G5" s="75"/>
      <c r="H5" s="76"/>
      <c r="I5" s="55"/>
      <c r="J5" s="77"/>
      <c r="K5" s="55"/>
      <c r="L5" s="55"/>
      <c r="M5" s="55"/>
      <c r="N5" s="55"/>
    </row>
    <row r="6" spans="2:21" ht="15" customHeight="1" x14ac:dyDescent="0.3">
      <c r="B6" s="314"/>
      <c r="C6" s="315" t="s">
        <v>43</v>
      </c>
      <c r="D6" s="315" t="s">
        <v>44</v>
      </c>
      <c r="E6" s="317"/>
      <c r="F6" s="317"/>
      <c r="G6" s="318"/>
      <c r="H6" s="303"/>
      <c r="I6" s="303"/>
      <c r="J6" s="303"/>
      <c r="K6" s="304"/>
      <c r="L6" s="304"/>
      <c r="M6" s="304"/>
      <c r="N6" s="55"/>
    </row>
    <row r="7" spans="2:21" s="1" customFormat="1" ht="41.25" customHeight="1" x14ac:dyDescent="0.3">
      <c r="B7" s="314"/>
      <c r="C7" s="316"/>
      <c r="D7" s="316"/>
      <c r="E7" s="79" t="s">
        <v>45</v>
      </c>
      <c r="F7" s="79" t="s">
        <v>132</v>
      </c>
      <c r="G7" s="119" t="s">
        <v>46</v>
      </c>
      <c r="H7" s="80"/>
      <c r="I7" s="80"/>
      <c r="J7" s="80"/>
      <c r="K7" s="80"/>
      <c r="L7" s="80"/>
      <c r="M7" s="80"/>
      <c r="N7" s="55"/>
    </row>
    <row r="8" spans="2:21" s="1" customFormat="1" x14ac:dyDescent="0.3">
      <c r="B8" s="81" t="s">
        <v>133</v>
      </c>
      <c r="C8" s="82">
        <v>1</v>
      </c>
      <c r="D8" s="83">
        <v>1</v>
      </c>
      <c r="E8" s="84">
        <f>C8*9600*12</f>
        <v>115200</v>
      </c>
      <c r="F8" s="85">
        <f>H3*365*0.75</f>
        <v>1642.5</v>
      </c>
      <c r="G8" s="120">
        <f>ROUND(E8/F8,0)</f>
        <v>70</v>
      </c>
      <c r="H8" s="76"/>
      <c r="I8" s="78"/>
      <c r="J8" s="87"/>
      <c r="K8" s="76"/>
      <c r="L8" s="55"/>
      <c r="M8" s="88"/>
      <c r="N8" s="55"/>
      <c r="R8" s="10"/>
      <c r="S8" s="10"/>
      <c r="T8" s="10"/>
      <c r="U8" s="10"/>
    </row>
    <row r="9" spans="2:21" s="1" customFormat="1" ht="28" x14ac:dyDescent="0.3">
      <c r="B9" s="81" t="s">
        <v>165</v>
      </c>
      <c r="C9" s="82">
        <v>1</v>
      </c>
      <c r="D9" s="89">
        <v>1</v>
      </c>
      <c r="E9" s="84">
        <f>C9*9600*12</f>
        <v>115200</v>
      </c>
      <c r="F9" s="85">
        <f>I3*365*0.75</f>
        <v>1642.5</v>
      </c>
      <c r="G9" s="120">
        <f>ROUND(E9/F9,0)</f>
        <v>70</v>
      </c>
      <c r="H9" s="76"/>
      <c r="I9" s="78"/>
      <c r="J9" s="88"/>
      <c r="K9" s="76"/>
      <c r="L9" s="55"/>
      <c r="M9" s="88"/>
      <c r="N9" s="55"/>
    </row>
    <row r="10" spans="2:21" s="1" customFormat="1" ht="27" customHeight="1" x14ac:dyDescent="0.3">
      <c r="B10" s="81" t="s">
        <v>164</v>
      </c>
      <c r="C10" s="82">
        <v>1</v>
      </c>
      <c r="D10" s="89">
        <v>1</v>
      </c>
      <c r="E10" s="84">
        <f>C10*9600*12</f>
        <v>115200</v>
      </c>
      <c r="F10" s="85">
        <f>J3*365*0.75</f>
        <v>1642.5</v>
      </c>
      <c r="G10" s="120">
        <f>ROUND(E10/F10,0)</f>
        <v>70</v>
      </c>
      <c r="H10" s="76"/>
      <c r="I10" s="78"/>
      <c r="J10" s="88"/>
      <c r="K10" s="76"/>
      <c r="L10" s="55"/>
      <c r="M10" s="88"/>
      <c r="N10" s="55"/>
    </row>
    <row r="11" spans="2:21" s="1" customFormat="1" ht="16.5" customHeight="1" x14ac:dyDescent="0.3">
      <c r="B11" s="81" t="s">
        <v>166</v>
      </c>
      <c r="C11" s="82">
        <v>1</v>
      </c>
      <c r="D11" s="89">
        <v>1</v>
      </c>
      <c r="E11" s="84">
        <f t="shared" ref="E11:E12" si="0">C11*9600*12</f>
        <v>115200</v>
      </c>
      <c r="F11" s="85">
        <f>I4*365*0.75</f>
        <v>1642.5</v>
      </c>
      <c r="G11" s="120">
        <f t="shared" ref="G11:G12" si="1">ROUND(E11/F11,0)</f>
        <v>70</v>
      </c>
      <c r="H11" s="76"/>
      <c r="I11" s="78"/>
      <c r="J11" s="88"/>
      <c r="K11" s="76"/>
      <c r="L11" s="55"/>
      <c r="M11" s="88"/>
      <c r="N11" s="55"/>
    </row>
    <row r="12" spans="2:21" s="1" customFormat="1" ht="27" customHeight="1" x14ac:dyDescent="0.3">
      <c r="B12" s="81" t="s">
        <v>167</v>
      </c>
      <c r="C12" s="82">
        <v>1</v>
      </c>
      <c r="D12" s="89">
        <v>1</v>
      </c>
      <c r="E12" s="84">
        <f t="shared" si="0"/>
        <v>115200</v>
      </c>
      <c r="F12" s="85">
        <f>J4*365*0.75</f>
        <v>1642.5</v>
      </c>
      <c r="G12" s="120">
        <f t="shared" si="1"/>
        <v>70</v>
      </c>
      <c r="H12" s="76"/>
      <c r="I12" s="78"/>
      <c r="J12" s="88"/>
      <c r="K12" s="76"/>
      <c r="L12" s="55"/>
      <c r="M12" s="88"/>
      <c r="N12" s="55"/>
    </row>
    <row r="13" spans="2:21" s="1" customFormat="1" ht="15" customHeight="1" x14ac:dyDescent="0.3">
      <c r="B13" s="90"/>
      <c r="C13" s="91"/>
      <c r="D13" s="92"/>
      <c r="E13" s="55"/>
      <c r="F13" s="55"/>
      <c r="G13" s="52"/>
      <c r="H13" s="55"/>
      <c r="I13" s="55"/>
      <c r="J13" s="93"/>
      <c r="K13" s="94"/>
      <c r="L13" s="55"/>
      <c r="M13" s="55"/>
      <c r="N13" s="55"/>
    </row>
    <row r="14" spans="2:21" s="1" customFormat="1" ht="15" customHeight="1" x14ac:dyDescent="0.3">
      <c r="B14" s="81" t="s">
        <v>47</v>
      </c>
      <c r="C14" s="95">
        <v>2083</v>
      </c>
      <c r="D14" s="95">
        <v>1303</v>
      </c>
      <c r="E14" s="95">
        <v>865</v>
      </c>
      <c r="F14" s="55"/>
      <c r="G14" s="55"/>
      <c r="H14" s="55"/>
      <c r="I14" s="55"/>
      <c r="J14" s="55"/>
      <c r="K14" s="55"/>
      <c r="L14" s="55"/>
      <c r="M14" s="55"/>
      <c r="N14" s="55"/>
    </row>
    <row r="15" spans="2:21" s="1" customFormat="1" ht="15" customHeight="1" x14ac:dyDescent="0.3">
      <c r="B15" s="96" t="s">
        <v>134</v>
      </c>
      <c r="C15" s="97">
        <f>ROUND(C14/9600,4)</f>
        <v>0.217</v>
      </c>
      <c r="D15" s="97">
        <f>ROUND(D14/9600,4)</f>
        <v>0.13569999999999999</v>
      </c>
      <c r="E15" s="97">
        <f>ROUND(E14/9600,4)</f>
        <v>9.01E-2</v>
      </c>
      <c r="F15" s="55"/>
      <c r="G15" s="55"/>
      <c r="H15" s="55"/>
      <c r="I15" s="55"/>
      <c r="J15" s="55"/>
      <c r="K15" s="55"/>
      <c r="L15" s="55"/>
      <c r="M15" s="55"/>
      <c r="N15" s="55"/>
    </row>
    <row r="16" spans="2:21" s="1" customFormat="1" ht="15" customHeight="1" x14ac:dyDescent="0.3">
      <c r="B16" s="98" t="s">
        <v>130</v>
      </c>
      <c r="C16" s="99"/>
      <c r="D16" s="99">
        <f>'Darba algas'!BE11</f>
        <v>0.17519999999999999</v>
      </c>
      <c r="E16" s="99">
        <f>'Darba algas'!BE14</f>
        <v>0.1149</v>
      </c>
      <c r="F16" s="55"/>
      <c r="G16" s="55"/>
      <c r="H16" s="55"/>
      <c r="I16" s="55"/>
      <c r="J16" s="55"/>
      <c r="K16" s="55"/>
      <c r="L16" s="55"/>
      <c r="M16" s="55"/>
      <c r="N16" s="55"/>
    </row>
    <row r="17" spans="2:18" s="1" customFormat="1" ht="38.25" customHeight="1" x14ac:dyDescent="0.3">
      <c r="B17" s="100" t="s">
        <v>135</v>
      </c>
      <c r="C17" s="101">
        <f>'Darba algas'!BE7</f>
        <v>0.2319</v>
      </c>
      <c r="D17" s="101">
        <f>'Darba algas'!BE10</f>
        <v>0.14280000000000001</v>
      </c>
      <c r="E17" s="101">
        <f>'Darba algas'!BE13</f>
        <v>9.3600000000000003E-2</v>
      </c>
      <c r="F17" s="55"/>
      <c r="G17" s="102">
        <v>0.2359</v>
      </c>
      <c r="H17" s="305" t="s">
        <v>48</v>
      </c>
      <c r="I17" s="306"/>
      <c r="J17" s="103">
        <v>0.37709999999999999</v>
      </c>
      <c r="K17" s="103">
        <v>0.14349999999999999</v>
      </c>
      <c r="L17" s="103">
        <v>3.49E-2</v>
      </c>
      <c r="M17" s="93"/>
      <c r="N17" s="104" t="s">
        <v>49</v>
      </c>
      <c r="Q17" s="10"/>
    </row>
    <row r="18" spans="2:18" s="1" customFormat="1" ht="12.75" customHeight="1" x14ac:dyDescent="0.3">
      <c r="B18" s="307"/>
      <c r="C18" s="309" t="s">
        <v>50</v>
      </c>
      <c r="D18" s="311" t="s">
        <v>168</v>
      </c>
      <c r="E18" s="309" t="s">
        <v>169</v>
      </c>
      <c r="F18" s="69" t="s">
        <v>8</v>
      </c>
      <c r="G18" s="69" t="s">
        <v>9</v>
      </c>
      <c r="H18" s="69" t="s">
        <v>10</v>
      </c>
      <c r="I18" s="69" t="s">
        <v>11</v>
      </c>
      <c r="J18" s="69" t="s">
        <v>12</v>
      </c>
      <c r="K18" s="69" t="s">
        <v>13</v>
      </c>
      <c r="L18" s="69" t="s">
        <v>14</v>
      </c>
      <c r="M18" s="69" t="s">
        <v>51</v>
      </c>
      <c r="N18" s="69" t="s">
        <v>52</v>
      </c>
      <c r="Q18" s="10"/>
    </row>
    <row r="19" spans="2:18" s="1" customFormat="1" ht="34.5" customHeight="1" x14ac:dyDescent="0.3">
      <c r="B19" s="308"/>
      <c r="C19" s="310"/>
      <c r="D19" s="310"/>
      <c r="E19" s="310"/>
      <c r="F19" s="69" t="s">
        <v>1</v>
      </c>
      <c r="G19" s="69" t="s">
        <v>2</v>
      </c>
      <c r="H19" s="69" t="s">
        <v>3</v>
      </c>
      <c r="I19" s="69" t="s">
        <v>4</v>
      </c>
      <c r="J19" s="69" t="s">
        <v>5</v>
      </c>
      <c r="K19" s="69" t="s">
        <v>6</v>
      </c>
      <c r="L19" s="105" t="s">
        <v>53</v>
      </c>
      <c r="M19" s="69" t="s">
        <v>7</v>
      </c>
      <c r="N19" s="69"/>
    </row>
    <row r="20" spans="2:18" x14ac:dyDescent="0.3">
      <c r="F20" s="107">
        <f t="shared" ref="F20:M20" si="2">SUM(F21:F24)</f>
        <v>62.539999999999992</v>
      </c>
      <c r="G20" s="107">
        <f t="shared" si="2"/>
        <v>14.750000000000002</v>
      </c>
      <c r="H20" s="107">
        <f t="shared" si="2"/>
        <v>10.31</v>
      </c>
      <c r="I20" s="107">
        <f t="shared" si="2"/>
        <v>7</v>
      </c>
      <c r="J20" s="107">
        <f t="shared" si="2"/>
        <v>23.58</v>
      </c>
      <c r="K20" s="107">
        <f t="shared" si="2"/>
        <v>8.9700000000000006</v>
      </c>
      <c r="L20" s="107">
        <f t="shared" si="2"/>
        <v>2.1799999999999997</v>
      </c>
      <c r="M20" s="107">
        <f t="shared" si="2"/>
        <v>2.76</v>
      </c>
      <c r="P20" s="7"/>
      <c r="Q20" s="18"/>
      <c r="R20" s="7"/>
    </row>
    <row r="21" spans="2:18" s="1" customFormat="1" ht="15.75" customHeight="1" x14ac:dyDescent="0.3">
      <c r="B21" s="108" t="s">
        <v>157</v>
      </c>
      <c r="C21" s="109">
        <f>G8</f>
        <v>70</v>
      </c>
      <c r="D21" s="109">
        <f>G9</f>
        <v>70</v>
      </c>
      <c r="E21" s="109">
        <f>G10</f>
        <v>70</v>
      </c>
      <c r="F21" s="110">
        <f>ROUND(C21*C$17+D21*D$17+E21*E$17,2)</f>
        <v>32.78</v>
      </c>
      <c r="G21" s="110">
        <f>ROUND(F21*G$17,2)</f>
        <v>7.73</v>
      </c>
      <c r="H21" s="111">
        <v>8.25</v>
      </c>
      <c r="I21" s="112">
        <v>7</v>
      </c>
      <c r="J21" s="113">
        <f>ROUND(F21*$J$17,2)</f>
        <v>12.36</v>
      </c>
      <c r="K21" s="113">
        <f>ROUND(F21*$K$17,2)</f>
        <v>4.7</v>
      </c>
      <c r="L21" s="113">
        <f>ROUND(F21*$L$17,2)</f>
        <v>1.1399999999999999</v>
      </c>
      <c r="M21" s="114">
        <v>2.42</v>
      </c>
      <c r="N21" s="46">
        <f>ROUND(SUM(F21:M21),2)</f>
        <v>76.38</v>
      </c>
      <c r="O21" s="10"/>
      <c r="P21" s="10"/>
      <c r="Q21" s="10"/>
      <c r="R21" s="10"/>
    </row>
    <row r="22" spans="2:18" s="1" customFormat="1" ht="15.75" customHeight="1" x14ac:dyDescent="0.3">
      <c r="B22" s="108" t="s">
        <v>144</v>
      </c>
      <c r="C22" s="109">
        <f>C21/2</f>
        <v>35</v>
      </c>
      <c r="D22" s="109"/>
      <c r="E22" s="109"/>
      <c r="F22" s="110">
        <f>ROUND(C22*C$17+D22*D$17+E22*E$17,2)</f>
        <v>8.1199999999999992</v>
      </c>
      <c r="G22" s="110">
        <f>ROUND(F22*G$17,2)</f>
        <v>1.92</v>
      </c>
      <c r="H22" s="111"/>
      <c r="I22" s="112"/>
      <c r="J22" s="113">
        <f>ROUND(F22*$J$17,2)</f>
        <v>3.06</v>
      </c>
      <c r="K22" s="113">
        <f>ROUND(F22*$K$17,2)</f>
        <v>1.17</v>
      </c>
      <c r="L22" s="113">
        <f>ROUND(F22*$L$17,2)</f>
        <v>0.28000000000000003</v>
      </c>
      <c r="M22" s="114">
        <v>0</v>
      </c>
      <c r="N22" s="46">
        <f>ROUND(SUM(F22:M22),2)</f>
        <v>14.55</v>
      </c>
      <c r="O22" s="10"/>
      <c r="P22" s="10"/>
      <c r="Q22" s="10"/>
      <c r="R22" s="10"/>
    </row>
    <row r="23" spans="2:18" s="1" customFormat="1" ht="15.75" customHeight="1" x14ac:dyDescent="0.3">
      <c r="B23" s="108" t="s">
        <v>130</v>
      </c>
      <c r="C23" s="109"/>
      <c r="D23" s="109">
        <f>G11</f>
        <v>70</v>
      </c>
      <c r="E23" s="109">
        <f>G12</f>
        <v>70</v>
      </c>
      <c r="F23" s="110">
        <f>ROUND(C23*C$16+D23*D$16+E23*E$16,2)</f>
        <v>20.309999999999999</v>
      </c>
      <c r="G23" s="110">
        <f>ROUND(F23*G$17,2)</f>
        <v>4.79</v>
      </c>
      <c r="H23" s="111"/>
      <c r="I23" s="112"/>
      <c r="J23" s="113">
        <f>ROUND(F23*$J$17,2)</f>
        <v>7.66</v>
      </c>
      <c r="K23" s="113">
        <f>ROUND(F23*$K$17,2)</f>
        <v>2.91</v>
      </c>
      <c r="L23" s="113">
        <f>ROUND(F23*$L$17,2)</f>
        <v>0.71</v>
      </c>
      <c r="M23" s="114">
        <v>0</v>
      </c>
      <c r="N23" s="46">
        <f>ROUND(SUM(F23:M23),2)</f>
        <v>36.380000000000003</v>
      </c>
      <c r="O23" s="10"/>
      <c r="P23" s="10"/>
      <c r="Q23" s="10"/>
      <c r="R23" s="10"/>
    </row>
    <row r="24" spans="2:18" s="1" customFormat="1" ht="15.75" customHeight="1" x14ac:dyDescent="0.3">
      <c r="B24" s="108" t="s">
        <v>138</v>
      </c>
      <c r="C24" s="109">
        <v>3</v>
      </c>
      <c r="D24" s="109">
        <v>5</v>
      </c>
      <c r="E24" s="109">
        <f>G15</f>
        <v>0</v>
      </c>
      <c r="F24" s="110">
        <f>ROUND(C24*C$15+D24*D$15+E24*E$15,2)</f>
        <v>1.33</v>
      </c>
      <c r="G24" s="110">
        <f>ROUND(F24*G$17,2)</f>
        <v>0.31</v>
      </c>
      <c r="H24" s="111">
        <v>2.06</v>
      </c>
      <c r="I24" s="112"/>
      <c r="J24" s="113">
        <f>ROUND(F24*$J$17,2)</f>
        <v>0.5</v>
      </c>
      <c r="K24" s="113">
        <f>ROUND(F24*$K$17,2)</f>
        <v>0.19</v>
      </c>
      <c r="L24" s="113">
        <f>ROUND(F24*$L$17,2)</f>
        <v>0.05</v>
      </c>
      <c r="M24" s="114">
        <v>0.34</v>
      </c>
      <c r="N24" s="46">
        <f>ROUND(SUM(F24:M24),2)</f>
        <v>4.78</v>
      </c>
      <c r="O24" s="10"/>
      <c r="P24" s="10"/>
      <c r="Q24" s="10"/>
      <c r="R24" s="10"/>
    </row>
    <row r="25" spans="2:18" x14ac:dyDescent="0.3">
      <c r="L25" s="74" t="s">
        <v>139</v>
      </c>
      <c r="N25" s="46">
        <v>2.37</v>
      </c>
    </row>
    <row r="26" spans="2:18" ht="28" x14ac:dyDescent="0.3">
      <c r="M26" s="116" t="s">
        <v>140</v>
      </c>
      <c r="N26" s="117">
        <f>SUM(N21:N25)</f>
        <v>134.46</v>
      </c>
    </row>
  </sheetData>
  <mergeCells count="14">
    <mergeCell ref="H6:J6"/>
    <mergeCell ref="K6:M6"/>
    <mergeCell ref="H17:I17"/>
    <mergeCell ref="B18:B19"/>
    <mergeCell ref="C18:C19"/>
    <mergeCell ref="D18:D19"/>
    <mergeCell ref="E18:E19"/>
    <mergeCell ref="F2:G2"/>
    <mergeCell ref="F3:G3"/>
    <mergeCell ref="F4:G4"/>
    <mergeCell ref="B6:B7"/>
    <mergeCell ref="C6:C7"/>
    <mergeCell ref="D6:D7"/>
    <mergeCell ref="E6:G6"/>
  </mergeCells>
  <pageMargins left="0.7" right="0.7" top="0.75" bottom="0.75" header="0.3" footer="0.3"/>
  <pageSetup paperSize="9" scale="40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72D0-D4F7-439D-A34F-80FE5729F448}">
  <dimension ref="A1:BK76"/>
  <sheetViews>
    <sheetView view="pageBreakPreview" zoomScale="60" zoomScaleNormal="100" workbookViewId="0">
      <pane xSplit="2" ySplit="6" topLeftCell="C7" activePane="bottomRight" state="frozen"/>
      <selection pane="topRight"/>
      <selection pane="bottomLeft"/>
      <selection pane="bottomRight" activeCell="V19" sqref="V19"/>
    </sheetView>
  </sheetViews>
  <sheetFormatPr defaultColWidth="9.26953125" defaultRowHeight="18" outlineLevelCol="1" x14ac:dyDescent="0.4"/>
  <cols>
    <col min="1" max="1" width="20" style="129" customWidth="1"/>
    <col min="2" max="2" width="33.7265625" style="27" customWidth="1"/>
    <col min="3" max="3" width="16.7265625" style="130" customWidth="1"/>
    <col min="4" max="4" width="14.26953125" style="27" customWidth="1"/>
    <col min="5" max="5" width="18.7265625" style="27" customWidth="1"/>
    <col min="6" max="6" width="11.54296875" style="27" customWidth="1"/>
    <col min="7" max="7" width="11.453125" style="27" customWidth="1"/>
    <col min="8" max="8" width="5" style="27" customWidth="1" outlineLevel="1"/>
    <col min="9" max="9" width="5.54296875" style="27" customWidth="1" outlineLevel="1"/>
    <col min="10" max="10" width="7.54296875" style="27" customWidth="1" outlineLevel="1"/>
    <col min="11" max="11" width="7" style="27" customWidth="1" outlineLevel="1"/>
    <col min="12" max="12" width="5" style="27" customWidth="1" outlineLevel="1"/>
    <col min="13" max="13" width="5.81640625" style="27" customWidth="1" outlineLevel="1"/>
    <col min="14" max="14" width="6.7265625" style="27" customWidth="1" outlineLevel="1"/>
    <col min="15" max="15" width="8.81640625" style="27" customWidth="1" outlineLevel="1"/>
    <col min="16" max="16" width="5" style="27" customWidth="1" outlineLevel="1"/>
    <col min="17" max="17" width="7" style="27" customWidth="1" outlineLevel="1"/>
    <col min="18" max="18" width="7.1796875" style="27" customWidth="1" outlineLevel="1"/>
    <col min="19" max="19" width="8.1796875" style="27" customWidth="1" outlineLevel="1"/>
    <col min="20" max="20" width="5" style="27" customWidth="1" outlineLevel="1"/>
    <col min="21" max="21" width="6.26953125" style="27" customWidth="1" outlineLevel="1"/>
    <col min="22" max="22" width="6.7265625" style="27" customWidth="1" outlineLevel="1"/>
    <col min="23" max="23" width="6.26953125" style="27" customWidth="1" outlineLevel="1"/>
    <col min="24" max="24" width="5" style="27" customWidth="1" outlineLevel="1"/>
    <col min="25" max="25" width="5.453125" style="27" customWidth="1" outlineLevel="1"/>
    <col min="26" max="27" width="7.1796875" style="27" customWidth="1" outlineLevel="1"/>
    <col min="28" max="28" width="5" style="27" customWidth="1" outlineLevel="1"/>
    <col min="29" max="29" width="5.81640625" style="27" customWidth="1" outlineLevel="1"/>
    <col min="30" max="30" width="6.81640625" style="27" customWidth="1" outlineLevel="1"/>
    <col min="31" max="31" width="6.453125" style="27" customWidth="1" outlineLevel="1"/>
    <col min="32" max="32" width="5" style="27" customWidth="1" outlineLevel="1"/>
    <col min="33" max="33" width="6.1796875" style="27" customWidth="1" outlineLevel="1"/>
    <col min="34" max="34" width="6.7265625" style="27" customWidth="1" outlineLevel="1"/>
    <col min="35" max="35" width="7.1796875" style="27" customWidth="1" outlineLevel="1"/>
    <col min="36" max="36" width="5" style="27" customWidth="1" outlineLevel="1"/>
    <col min="37" max="37" width="6.54296875" style="27" customWidth="1" outlineLevel="1"/>
    <col min="38" max="38" width="7.81640625" style="27" customWidth="1" outlineLevel="1"/>
    <col min="39" max="39" width="7.54296875" style="27" customWidth="1" outlineLevel="1"/>
    <col min="40" max="40" width="6.453125" style="27" customWidth="1"/>
    <col min="41" max="41" width="24.54296875" style="27" customWidth="1"/>
    <col min="42" max="42" width="14.7265625" style="27" customWidth="1"/>
    <col min="43" max="43" width="14.54296875" style="27" customWidth="1"/>
    <col min="44" max="44" width="16" style="27" customWidth="1"/>
    <col min="45" max="45" width="15.7265625" style="27" customWidth="1"/>
    <col min="46" max="46" width="12" style="27" customWidth="1"/>
    <col min="47" max="47" width="15.7265625" style="27" hidden="1" customWidth="1"/>
    <col min="48" max="48" width="26.1796875" style="27" hidden="1" customWidth="1"/>
    <col min="49" max="49" width="33" style="27" hidden="1" customWidth="1"/>
    <col min="50" max="50" width="14" style="27" customWidth="1"/>
    <col min="51" max="51" width="9.1796875" style="27"/>
    <col min="52" max="53" width="13.1796875" style="27" bestFit="1" customWidth="1"/>
    <col min="54" max="54" width="12.1796875" style="27" customWidth="1"/>
    <col min="55" max="55" width="11.26953125" style="27" customWidth="1"/>
    <col min="56" max="56" width="31.81640625" style="27" customWidth="1"/>
    <col min="57" max="57" width="16.26953125" style="27" customWidth="1"/>
    <col min="58" max="58" width="28.453125" style="27" customWidth="1"/>
    <col min="59" max="63" width="9.26953125" style="27"/>
    <col min="64" max="16384" width="9.26953125" style="30"/>
  </cols>
  <sheetData>
    <row r="1" spans="1:63" x14ac:dyDescent="0.4">
      <c r="BF1" s="27" t="s">
        <v>189</v>
      </c>
    </row>
    <row r="3" spans="1:63" ht="22.5" x14ac:dyDescent="0.45">
      <c r="B3" s="131" t="s">
        <v>54</v>
      </c>
      <c r="C3" s="132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AU3" s="133"/>
      <c r="BF3" s="134" t="s">
        <v>190</v>
      </c>
      <c r="BG3" s="130">
        <v>2083</v>
      </c>
    </row>
    <row r="4" spans="1:63" ht="30" x14ac:dyDescent="0.4">
      <c r="AH4" s="27">
        <f>365*8+(15*8)</f>
        <v>3040</v>
      </c>
      <c r="AU4" s="133"/>
      <c r="AY4" s="135"/>
      <c r="AZ4" s="135"/>
      <c r="BA4" s="136">
        <v>0.5</v>
      </c>
      <c r="BB4" s="136">
        <v>1</v>
      </c>
      <c r="BC4" s="136">
        <v>0.05</v>
      </c>
      <c r="BF4" s="134" t="s">
        <v>191</v>
      </c>
      <c r="BG4" s="130">
        <v>1303</v>
      </c>
    </row>
    <row r="5" spans="1:63" s="31" customFormat="1" ht="20" x14ac:dyDescent="0.35">
      <c r="A5" s="137"/>
      <c r="B5" s="138"/>
      <c r="C5" s="139"/>
      <c r="D5" s="140"/>
      <c r="E5" s="140"/>
      <c r="F5" s="140"/>
      <c r="G5" s="141"/>
      <c r="H5" s="142" t="s">
        <v>55</v>
      </c>
      <c r="I5" s="143"/>
      <c r="J5" s="143"/>
      <c r="K5" s="143"/>
      <c r="L5" s="143" t="s">
        <v>56</v>
      </c>
      <c r="M5" s="143"/>
      <c r="N5" s="143"/>
      <c r="O5" s="143"/>
      <c r="P5" s="143" t="s">
        <v>57</v>
      </c>
      <c r="Q5" s="143"/>
      <c r="R5" s="143"/>
      <c r="S5" s="143"/>
      <c r="T5" s="143" t="s">
        <v>58</v>
      </c>
      <c r="U5" s="143"/>
      <c r="V5" s="143"/>
      <c r="W5" s="143"/>
      <c r="X5" s="143" t="s">
        <v>59</v>
      </c>
      <c r="Y5" s="143"/>
      <c r="Z5" s="143"/>
      <c r="AA5" s="143"/>
      <c r="AB5" s="144" t="s">
        <v>60</v>
      </c>
      <c r="AC5" s="144"/>
      <c r="AD5" s="144"/>
      <c r="AE5" s="144"/>
      <c r="AF5" s="144" t="s">
        <v>61</v>
      </c>
      <c r="AG5" s="144"/>
      <c r="AH5" s="144"/>
      <c r="AI5" s="144"/>
      <c r="AJ5" s="145" t="s">
        <v>62</v>
      </c>
      <c r="AK5" s="145"/>
      <c r="AL5" s="145"/>
      <c r="AM5" s="146"/>
      <c r="AN5" s="147"/>
      <c r="AO5" s="148" t="s">
        <v>63</v>
      </c>
      <c r="AP5" s="148"/>
      <c r="AQ5" s="148"/>
      <c r="AR5" s="135"/>
      <c r="AS5" s="135"/>
      <c r="AT5" s="135"/>
      <c r="AU5" s="135"/>
      <c r="AV5" s="135"/>
      <c r="AW5" s="135"/>
      <c r="AX5" s="135"/>
      <c r="AY5" s="135"/>
      <c r="AZ5" s="135"/>
      <c r="BA5" s="135"/>
      <c r="BB5" s="135"/>
      <c r="BC5" s="135"/>
      <c r="BD5" s="135"/>
      <c r="BE5" s="135"/>
      <c r="BF5" s="134" t="s">
        <v>192</v>
      </c>
      <c r="BG5" s="135">
        <v>854</v>
      </c>
      <c r="BH5" s="135"/>
      <c r="BI5" s="135"/>
      <c r="BJ5" s="135"/>
      <c r="BK5" s="135"/>
    </row>
    <row r="6" spans="1:63" ht="70" x14ac:dyDescent="0.35">
      <c r="A6" s="149"/>
      <c r="B6" s="150" t="s">
        <v>64</v>
      </c>
      <c r="C6" s="151"/>
      <c r="D6" s="152" t="s">
        <v>65</v>
      </c>
      <c r="E6" s="153" t="s">
        <v>66</v>
      </c>
      <c r="F6" s="153" t="s">
        <v>67</v>
      </c>
      <c r="G6" s="154" t="s">
        <v>68</v>
      </c>
      <c r="H6" s="155" t="s">
        <v>69</v>
      </c>
      <c r="I6" s="156" t="s">
        <v>70</v>
      </c>
      <c r="J6" s="156" t="s">
        <v>71</v>
      </c>
      <c r="K6" s="157" t="s">
        <v>72</v>
      </c>
      <c r="L6" s="158" t="s">
        <v>69</v>
      </c>
      <c r="M6" s="156" t="s">
        <v>70</v>
      </c>
      <c r="N6" s="156" t="s">
        <v>71</v>
      </c>
      <c r="O6" s="157" t="s">
        <v>72</v>
      </c>
      <c r="P6" s="158" t="s">
        <v>69</v>
      </c>
      <c r="Q6" s="156" t="s">
        <v>70</v>
      </c>
      <c r="R6" s="156" t="s">
        <v>71</v>
      </c>
      <c r="S6" s="157" t="s">
        <v>72</v>
      </c>
      <c r="T6" s="158" t="s">
        <v>69</v>
      </c>
      <c r="U6" s="156" t="s">
        <v>70</v>
      </c>
      <c r="V6" s="156" t="s">
        <v>71</v>
      </c>
      <c r="W6" s="157" t="s">
        <v>72</v>
      </c>
      <c r="X6" s="158" t="s">
        <v>69</v>
      </c>
      <c r="Y6" s="156" t="s">
        <v>70</v>
      </c>
      <c r="Z6" s="156" t="s">
        <v>71</v>
      </c>
      <c r="AA6" s="157" t="s">
        <v>72</v>
      </c>
      <c r="AB6" s="158" t="s">
        <v>69</v>
      </c>
      <c r="AC6" s="156" t="s">
        <v>70</v>
      </c>
      <c r="AD6" s="156" t="s">
        <v>71</v>
      </c>
      <c r="AE6" s="157" t="s">
        <v>72</v>
      </c>
      <c r="AF6" s="158" t="s">
        <v>69</v>
      </c>
      <c r="AG6" s="156" t="s">
        <v>70</v>
      </c>
      <c r="AH6" s="156" t="s">
        <v>71</v>
      </c>
      <c r="AI6" s="157" t="s">
        <v>72</v>
      </c>
      <c r="AJ6" s="158" t="s">
        <v>69</v>
      </c>
      <c r="AK6" s="156" t="s">
        <v>70</v>
      </c>
      <c r="AL6" s="156" t="s">
        <v>71</v>
      </c>
      <c r="AM6" s="157" t="s">
        <v>72</v>
      </c>
      <c r="AN6" s="155" t="s">
        <v>73</v>
      </c>
      <c r="AO6" s="156" t="s">
        <v>74</v>
      </c>
      <c r="AP6" s="156" t="s">
        <v>75</v>
      </c>
      <c r="AQ6" s="156" t="s">
        <v>76</v>
      </c>
      <c r="AR6" s="159" t="s">
        <v>77</v>
      </c>
      <c r="AS6" s="156" t="s">
        <v>78</v>
      </c>
      <c r="AT6" s="156" t="s">
        <v>79</v>
      </c>
      <c r="AU6" s="160" t="s">
        <v>80</v>
      </c>
      <c r="AV6" s="161" t="s">
        <v>81</v>
      </c>
      <c r="AW6" s="162" t="s">
        <v>82</v>
      </c>
      <c r="AX6" s="163" t="s">
        <v>83</v>
      </c>
      <c r="AY6" s="164" t="s">
        <v>84</v>
      </c>
      <c r="AZ6" s="165" t="s">
        <v>85</v>
      </c>
      <c r="BA6" s="166" t="s">
        <v>86</v>
      </c>
      <c r="BB6" s="166" t="s">
        <v>87</v>
      </c>
      <c r="BC6" s="166" t="s">
        <v>88</v>
      </c>
      <c r="BD6" s="167" t="s">
        <v>89</v>
      </c>
      <c r="BE6" s="168" t="s">
        <v>90</v>
      </c>
    </row>
    <row r="7" spans="1:63" s="32" customFormat="1" ht="28" x14ac:dyDescent="0.35">
      <c r="A7" s="342" t="s">
        <v>91</v>
      </c>
      <c r="B7" s="169" t="s">
        <v>92</v>
      </c>
      <c r="C7" s="170"/>
      <c r="D7" s="171"/>
      <c r="E7" s="172"/>
      <c r="F7" s="172"/>
      <c r="G7" s="173">
        <v>1</v>
      </c>
      <c r="H7" s="174">
        <v>8</v>
      </c>
      <c r="I7" s="174">
        <v>16</v>
      </c>
      <c r="J7" s="175">
        <f>IF(H7="",0,IF((I7-H7&lt;=0),(24-H7+I7),(I7-H7)))</f>
        <v>8</v>
      </c>
      <c r="K7" s="174"/>
      <c r="L7" s="174">
        <v>8</v>
      </c>
      <c r="M7" s="174">
        <v>16</v>
      </c>
      <c r="N7" s="175">
        <f>IF(L7="",0,IF((M7-L7&lt;=0),(24-L7+M7),(M7-L7)))</f>
        <v>8</v>
      </c>
      <c r="O7" s="174"/>
      <c r="P7" s="174">
        <v>8</v>
      </c>
      <c r="Q7" s="174">
        <v>16</v>
      </c>
      <c r="R7" s="175">
        <f>IF(P7="",0,IF((Q7-P7&lt;=0),(24-P7+Q7),(Q7-P7)))</f>
        <v>8</v>
      </c>
      <c r="S7" s="174"/>
      <c r="T7" s="174">
        <v>8</v>
      </c>
      <c r="U7" s="174">
        <v>16</v>
      </c>
      <c r="V7" s="175">
        <f>IF(T7="",0,IF((U7-T7&lt;=0),(24-T7+U7),(U7-T7)))</f>
        <v>8</v>
      </c>
      <c r="W7" s="174"/>
      <c r="X7" s="174">
        <v>8</v>
      </c>
      <c r="Y7" s="174">
        <v>16</v>
      </c>
      <c r="Z7" s="175">
        <f>IF(X7="",0,IF((Y7-X7&lt;=0),(24-X7+Y7),(Y7-X7)))</f>
        <v>8</v>
      </c>
      <c r="AA7" s="174"/>
      <c r="AB7" s="174"/>
      <c r="AC7" s="174"/>
      <c r="AD7" s="175">
        <f>IF(AB7="",0,IF((AC7-AB7&lt;=0),(24-AB7+AC7),(AC7-AB7)))</f>
        <v>0</v>
      </c>
      <c r="AE7" s="174"/>
      <c r="AF7" s="174"/>
      <c r="AG7" s="174"/>
      <c r="AH7" s="175">
        <f>IF(AF7="",0,IF((AG7-AF7&lt;=0),(24-AF7+AG7),(AG7-AF7)))</f>
        <v>0</v>
      </c>
      <c r="AI7" s="174"/>
      <c r="AJ7" s="174">
        <v>8</v>
      </c>
      <c r="AK7" s="174">
        <v>16</v>
      </c>
      <c r="AL7" s="175">
        <f>IF(AJ7="",0,IF((AK7-AJ7&lt;=0),(24-AJ7+AK7),(AK7-AJ7)))</f>
        <v>8</v>
      </c>
      <c r="AM7" s="174"/>
      <c r="AN7" s="176">
        <f>J7+N7+R7+V7+Z7+AD7+AH7+AL7</f>
        <v>48</v>
      </c>
      <c r="AO7" s="177">
        <f>IF(AN7=0,0,((J7*$C$72)+($D$72*N7)+(R7*$E$72)+(V7*$F$72)+($G$72*Z7)+(AD7*$H$73)+($I$74*AH7)+(AL7*$J$75)*G7))</f>
        <v>2144</v>
      </c>
      <c r="AP7" s="178">
        <f>IF(AN7=0,0,((K7*$C$72)+($D$72*O7)+(S7*$E$72)+(W7*$F$72)+($G$72*AA7)+(AE7*$H$73)+($I$74*AI7)+(AM7*$J$75)*G7))</f>
        <v>0</v>
      </c>
      <c r="AQ7" s="179">
        <f>AL7*$J$75*G7</f>
        <v>144</v>
      </c>
      <c r="AR7" s="180">
        <f>AO7/$L$71</f>
        <v>1.0698602794411178</v>
      </c>
      <c r="AS7" s="180">
        <f>AR7*0.09091</f>
        <v>9.726099800399203E-2</v>
      </c>
      <c r="AT7" s="180">
        <f>AS7+AR7</f>
        <v>1.1671212774451099</v>
      </c>
      <c r="AU7" s="181"/>
      <c r="AV7" s="182"/>
      <c r="AW7" s="183" t="s">
        <v>93</v>
      </c>
      <c r="AX7" s="184">
        <f>BG3</f>
        <v>2083</v>
      </c>
      <c r="AY7" s="185">
        <f t="shared" ref="AY7:AY15" si="0">AX7/160</f>
        <v>13.018750000000001</v>
      </c>
      <c r="AZ7" s="186">
        <f t="shared" ref="AZ7:AZ9" si="1">AY7*AO7</f>
        <v>27912.2</v>
      </c>
      <c r="BA7" s="180">
        <f t="shared" ref="BA7:BA15" si="2">$BA$4*AY7*AP7</f>
        <v>0</v>
      </c>
      <c r="BB7" s="180">
        <f t="shared" ref="BB7:BB9" si="3">AY7*AQ7</f>
        <v>1874.7</v>
      </c>
      <c r="BC7" s="180">
        <f>AY7*$BC$4*AO7</f>
        <v>1395.6100000000001</v>
      </c>
      <c r="BD7" s="187">
        <f>(AZ7+BA7+BB7+BC7)/12/AT7</f>
        <v>2226.4545683618644</v>
      </c>
      <c r="BE7" s="188">
        <f>ROUND(BD7/160/60,4)</f>
        <v>0.2319</v>
      </c>
      <c r="BF7" s="189">
        <f>(AZ7+BA7+BB7+BC7)/AT7</f>
        <v>26717.454820342376</v>
      </c>
      <c r="BG7" s="189"/>
      <c r="BH7" s="189"/>
      <c r="BI7" s="189"/>
      <c r="BJ7" s="189"/>
      <c r="BK7" s="189"/>
    </row>
    <row r="8" spans="1:63" s="33" customFormat="1" ht="28" x14ac:dyDescent="0.35">
      <c r="A8" s="342"/>
      <c r="B8" s="190" t="s">
        <v>94</v>
      </c>
      <c r="C8" s="191"/>
      <c r="D8" s="171"/>
      <c r="E8" s="192"/>
      <c r="F8" s="192"/>
      <c r="G8" s="193">
        <v>1</v>
      </c>
      <c r="H8" s="147">
        <v>16</v>
      </c>
      <c r="I8" s="147">
        <v>8</v>
      </c>
      <c r="J8" s="194">
        <f>IF(H8="",0,IF((I8-H8&lt;=0),(24-H8+I8),(I8-H8)))</f>
        <v>16</v>
      </c>
      <c r="K8" s="195">
        <v>8</v>
      </c>
      <c r="L8" s="147">
        <v>16</v>
      </c>
      <c r="M8" s="147">
        <v>8</v>
      </c>
      <c r="N8" s="194">
        <f>IF(L8="",0,IF((M8-L8&lt;=0),(24-L8+M8),(M8-L8)))</f>
        <v>16</v>
      </c>
      <c r="O8" s="195">
        <v>8</v>
      </c>
      <c r="P8" s="147">
        <v>16</v>
      </c>
      <c r="Q8" s="147">
        <v>8</v>
      </c>
      <c r="R8" s="194">
        <f>IF(P8="",0,IF((Q8-P8&lt;=0),(24-P8+Q8),(Q8-P8)))</f>
        <v>16</v>
      </c>
      <c r="S8" s="195">
        <v>8</v>
      </c>
      <c r="T8" s="147">
        <v>16</v>
      </c>
      <c r="U8" s="147">
        <v>8</v>
      </c>
      <c r="V8" s="194">
        <f>IF(T8="",0,IF((U8-T8&lt;=0),(24-T8+U8),(U8-T8)))</f>
        <v>16</v>
      </c>
      <c r="W8" s="195">
        <v>8</v>
      </c>
      <c r="X8" s="147">
        <v>16</v>
      </c>
      <c r="Y8" s="147">
        <v>8</v>
      </c>
      <c r="Z8" s="194">
        <f>IF(X8="",0,IF((Y8-X8&lt;=0),(24-X8+Y8),(Y8-X8)))</f>
        <v>16</v>
      </c>
      <c r="AA8" s="195">
        <v>8</v>
      </c>
      <c r="AB8" s="147">
        <v>16</v>
      </c>
      <c r="AC8" s="147">
        <v>8</v>
      </c>
      <c r="AD8" s="194">
        <f>IF(AB8="",0,IF((AC8-AB8&lt;=0),(24-AB8+AC8),(AC8-AB8)))</f>
        <v>16</v>
      </c>
      <c r="AE8" s="195">
        <v>8</v>
      </c>
      <c r="AF8" s="147">
        <v>16</v>
      </c>
      <c r="AG8" s="147">
        <v>8</v>
      </c>
      <c r="AH8" s="194">
        <f>IF(AF8="",0,IF((AG8-AF8&lt;=0),(24-AF8+AG8),(AG8-AF8)))</f>
        <v>16</v>
      </c>
      <c r="AI8" s="195">
        <v>8</v>
      </c>
      <c r="AJ8" s="147">
        <v>16</v>
      </c>
      <c r="AK8" s="147">
        <v>8</v>
      </c>
      <c r="AL8" s="194">
        <f>IF(AJ8="",0,IF((AK8-AJ8&lt;=0),(24-AJ8+AK8),(AK8-AJ8)))</f>
        <v>16</v>
      </c>
      <c r="AM8" s="195">
        <v>8</v>
      </c>
      <c r="AN8" s="196">
        <f>J8+N8+R8+V8+Z8+AD8+AH8+AL8</f>
        <v>128</v>
      </c>
      <c r="AO8" s="177">
        <f t="shared" ref="AO8:AO9" si="4">IF(AN8=0,0,((J8*$C$72)+($D$72*N8)+(R8*$E$72)+(V8*$F$72)+($G$72*Z8)+(AD8*$H$73)+($I$74*AH8)+(AL8*$J$75)*G8))</f>
        <v>5824</v>
      </c>
      <c r="AP8" s="178">
        <f t="shared" ref="AP8:AP9" si="5">IF(AN8=0,0,((K8*$C$72)+($D$72*O8)+(S8*$E$72)+(W8*$F$72)+($G$72*AA8)+(AE8*$H$73)+($I$74*AI8)+(AM8*$J$75)*G8))</f>
        <v>2912</v>
      </c>
      <c r="AQ8" s="179">
        <f t="shared" ref="AQ8:AQ9" si="6">AL8*$J$75*G8</f>
        <v>288</v>
      </c>
      <c r="AR8" s="180">
        <f t="shared" ref="AR8:AR9" si="7">AO8/$L$71</f>
        <v>2.906187624750499</v>
      </c>
      <c r="AS8" s="180">
        <f t="shared" ref="AS8:AS15" si="8">AR8*0.09091</f>
        <v>0.26420151696606786</v>
      </c>
      <c r="AT8" s="197">
        <f>AS8+AR8</f>
        <v>3.1703891417165666</v>
      </c>
      <c r="AU8" s="198"/>
      <c r="AV8" s="199"/>
      <c r="AW8" s="200" t="s">
        <v>93</v>
      </c>
      <c r="AX8" s="201">
        <f>BG3</f>
        <v>2083</v>
      </c>
      <c r="AY8" s="185">
        <f t="shared" si="0"/>
        <v>13.018750000000001</v>
      </c>
      <c r="AZ8" s="202">
        <f t="shared" si="1"/>
        <v>75821.2</v>
      </c>
      <c r="BA8" s="203">
        <f t="shared" si="2"/>
        <v>18955.3</v>
      </c>
      <c r="BB8" s="203">
        <f t="shared" si="3"/>
        <v>3749.4</v>
      </c>
      <c r="BC8" s="197">
        <f t="shared" ref="BC8:BC15" si="9">AY8*$BC$4*AO8</f>
        <v>3791.0600000000004</v>
      </c>
      <c r="BD8" s="187">
        <f t="shared" ref="BD8:BD15" si="10">(AZ8+BA8+BB8+BC8)/12/AT8</f>
        <v>2689.3901512408079</v>
      </c>
      <c r="BE8" s="188">
        <f t="shared" ref="BE8:BE15" si="11">ROUND(BD8/160/60,4)</f>
        <v>0.28010000000000002</v>
      </c>
      <c r="BF8" s="204"/>
      <c r="BG8" s="204"/>
      <c r="BH8" s="204"/>
      <c r="BI8" s="204"/>
      <c r="BJ8" s="204"/>
      <c r="BK8" s="204"/>
    </row>
    <row r="9" spans="1:63" ht="17.5" x14ac:dyDescent="0.35">
      <c r="A9" s="342"/>
      <c r="B9" s="190" t="s">
        <v>95</v>
      </c>
      <c r="C9" s="191"/>
      <c r="D9" s="171"/>
      <c r="E9" s="192"/>
      <c r="F9" s="192"/>
      <c r="G9" s="193">
        <v>1</v>
      </c>
      <c r="H9" s="147">
        <v>8</v>
      </c>
      <c r="I9" s="147">
        <v>8</v>
      </c>
      <c r="J9" s="194">
        <f t="shared" ref="J9" si="12">IF(H9="",0,IF((I9-H9&lt;=0),(24-H9+I9),(I9-H9)))</f>
        <v>24</v>
      </c>
      <c r="K9" s="195">
        <v>8</v>
      </c>
      <c r="L9" s="147">
        <v>8</v>
      </c>
      <c r="M9" s="147">
        <v>8</v>
      </c>
      <c r="N9" s="194">
        <f t="shared" ref="N9" si="13">IF(L9="",0,IF((M9-L9&lt;=0),(24-L9+M9),(M9-L9)))</f>
        <v>24</v>
      </c>
      <c r="O9" s="195">
        <v>8</v>
      </c>
      <c r="P9" s="147">
        <v>8</v>
      </c>
      <c r="Q9" s="147">
        <v>8</v>
      </c>
      <c r="R9" s="194">
        <f t="shared" ref="R9" si="14">IF(P9="",0,IF((Q9-P9&lt;=0),(24-P9+Q9),(Q9-P9)))</f>
        <v>24</v>
      </c>
      <c r="S9" s="195">
        <v>8</v>
      </c>
      <c r="T9" s="147">
        <v>8</v>
      </c>
      <c r="U9" s="147">
        <v>8</v>
      </c>
      <c r="V9" s="194">
        <f t="shared" ref="V9" si="15">IF(T9="",0,IF((U9-T9&lt;=0),(24-T9+U9),(U9-T9)))</f>
        <v>24</v>
      </c>
      <c r="W9" s="195">
        <v>8</v>
      </c>
      <c r="X9" s="147">
        <v>8</v>
      </c>
      <c r="Y9" s="147">
        <v>8</v>
      </c>
      <c r="Z9" s="194">
        <f t="shared" ref="Z9" si="16">IF(X9="",0,IF((Y9-X9&lt;=0),(24-X9+Y9),(Y9-X9)))</f>
        <v>24</v>
      </c>
      <c r="AA9" s="195">
        <v>8</v>
      </c>
      <c r="AB9" s="147">
        <v>8</v>
      </c>
      <c r="AC9" s="147">
        <v>8</v>
      </c>
      <c r="AD9" s="194">
        <f t="shared" ref="AD9" si="17">IF(AB9="",0,IF((AC9-AB9&lt;=0),(24-AB9+AC9),(AC9-AB9)))</f>
        <v>24</v>
      </c>
      <c r="AE9" s="195">
        <v>8</v>
      </c>
      <c r="AF9" s="147">
        <v>8</v>
      </c>
      <c r="AG9" s="147">
        <v>8</v>
      </c>
      <c r="AH9" s="194">
        <f t="shared" ref="AH9" si="18">IF(AF9="",0,IF((AG9-AF9&lt;=0),(24-AF9+AG9),(AG9-AF9)))</f>
        <v>24</v>
      </c>
      <c r="AI9" s="195">
        <v>8</v>
      </c>
      <c r="AJ9" s="147">
        <v>8</v>
      </c>
      <c r="AK9" s="147">
        <v>8</v>
      </c>
      <c r="AL9" s="194">
        <f t="shared" ref="AL9" si="19">IF(AJ9="",0,IF((AK9-AJ9&lt;=0),(24-AJ9+AK9),(AK9-AJ9)))</f>
        <v>24</v>
      </c>
      <c r="AM9" s="195">
        <v>8</v>
      </c>
      <c r="AN9" s="196">
        <f t="shared" ref="AN9" si="20">J9+N9+R9+V9+Z9+AD9+AH9+AL9</f>
        <v>192</v>
      </c>
      <c r="AO9" s="177">
        <f t="shared" si="4"/>
        <v>8736</v>
      </c>
      <c r="AP9" s="178">
        <f t="shared" si="5"/>
        <v>2912</v>
      </c>
      <c r="AQ9" s="179">
        <f t="shared" si="6"/>
        <v>432</v>
      </c>
      <c r="AR9" s="180">
        <f t="shared" si="7"/>
        <v>4.3592814371257482</v>
      </c>
      <c r="AS9" s="180">
        <f t="shared" si="8"/>
        <v>0.39630227544910179</v>
      </c>
      <c r="AT9" s="197">
        <f t="shared" ref="AT9" si="21">AS9+AR9</f>
        <v>4.7555837125748504</v>
      </c>
      <c r="AU9" s="205"/>
      <c r="AV9" s="206"/>
      <c r="AW9" s="207"/>
      <c r="AX9" s="208">
        <f>BG3</f>
        <v>2083</v>
      </c>
      <c r="AY9" s="185">
        <f t="shared" si="0"/>
        <v>13.018750000000001</v>
      </c>
      <c r="AZ9" s="202">
        <f t="shared" si="1"/>
        <v>113731.8</v>
      </c>
      <c r="BA9" s="197">
        <f t="shared" si="2"/>
        <v>18955.3</v>
      </c>
      <c r="BB9" s="197">
        <f t="shared" si="3"/>
        <v>5624.1</v>
      </c>
      <c r="BC9" s="197">
        <f t="shared" si="9"/>
        <v>5686.59</v>
      </c>
      <c r="BD9" s="187">
        <f>(AZ9+BA9+BB9+BC9)/12/AT9</f>
        <v>2523.3108191541405</v>
      </c>
      <c r="BE9" s="188">
        <f t="shared" si="11"/>
        <v>0.26279999999999998</v>
      </c>
    </row>
    <row r="10" spans="1:63" ht="28" x14ac:dyDescent="0.35">
      <c r="A10" s="341" t="s">
        <v>96</v>
      </c>
      <c r="B10" s="169" t="s">
        <v>92</v>
      </c>
      <c r="C10" s="170"/>
      <c r="D10" s="171"/>
      <c r="E10" s="172"/>
      <c r="F10" s="172"/>
      <c r="G10" s="173">
        <v>1</v>
      </c>
      <c r="H10" s="174">
        <v>8</v>
      </c>
      <c r="I10" s="174">
        <v>16</v>
      </c>
      <c r="J10" s="175">
        <f>IF(H10="",0,IF((I10-H10&lt;=0),(24-H10+I10),(I10-H10)))</f>
        <v>8</v>
      </c>
      <c r="K10" s="174"/>
      <c r="L10" s="174">
        <v>8</v>
      </c>
      <c r="M10" s="174">
        <v>16</v>
      </c>
      <c r="N10" s="175">
        <f>IF(L10="",0,IF((M10-L10&lt;=0),(24-L10+M10),(M10-L10)))</f>
        <v>8</v>
      </c>
      <c r="O10" s="174"/>
      <c r="P10" s="174">
        <v>8</v>
      </c>
      <c r="Q10" s="174">
        <v>16</v>
      </c>
      <c r="R10" s="175">
        <f>IF(P10="",0,IF((Q10-P10&lt;=0),(24-P10+Q10),(Q10-P10)))</f>
        <v>8</v>
      </c>
      <c r="S10" s="174"/>
      <c r="T10" s="174">
        <v>8</v>
      </c>
      <c r="U10" s="174">
        <v>16</v>
      </c>
      <c r="V10" s="175">
        <f>IF(T10="",0,IF((U10-T10&lt;=0),(24-T10+U10),(U10-T10)))</f>
        <v>8</v>
      </c>
      <c r="W10" s="174"/>
      <c r="X10" s="174">
        <v>8</v>
      </c>
      <c r="Y10" s="174">
        <v>16</v>
      </c>
      <c r="Z10" s="175">
        <f>IF(X10="",0,IF((Y10-X10&lt;=0),(24-X10+Y10),(Y10-X10)))</f>
        <v>8</v>
      </c>
      <c r="AA10" s="174"/>
      <c r="AB10" s="174">
        <v>8</v>
      </c>
      <c r="AC10" s="174">
        <v>16</v>
      </c>
      <c r="AD10" s="175">
        <f>IF(AB10="",0,IF((AC10-AB10&lt;=0),(24-AB10+AC10),(AC10-AB10)))</f>
        <v>8</v>
      </c>
      <c r="AE10" s="174"/>
      <c r="AF10" s="174">
        <v>8</v>
      </c>
      <c r="AG10" s="174">
        <v>16</v>
      </c>
      <c r="AH10" s="175">
        <f>IF(AF10="",0,IF((AG10-AF10&lt;=0),(24-AF10+AG10),(AG10-AF10)))</f>
        <v>8</v>
      </c>
      <c r="AI10" s="174"/>
      <c r="AJ10" s="174">
        <v>8</v>
      </c>
      <c r="AK10" s="174">
        <v>16</v>
      </c>
      <c r="AL10" s="175">
        <f>IF(AJ10="",0,IF((AK10-AJ10&lt;=0),(24-AJ10+AK10),(AK10-AJ10)))</f>
        <v>8</v>
      </c>
      <c r="AM10" s="174"/>
      <c r="AN10" s="176">
        <f>J10+N10+R10+V10+Z10+AD10+AH10+AL10</f>
        <v>64</v>
      </c>
      <c r="AO10" s="177">
        <f>IF(AN10=0,0,((J10*$C$72)+($D$72*N10)+(R10*$E$72)+(V10*$F$72)+($G$72*Z10)+(AD10*$H$73)+($I$74*AH10)+(AL10*$J$75)*G10))</f>
        <v>2912</v>
      </c>
      <c r="AP10" s="178">
        <f>IF(AN10=0,0,((K10*$C$72)+($D$72*O10)+(S10*$E$72)+(W10*$F$72)+($G$72*AA10)+(AE10*$H$73)+($I$74*AI10)+(AM10*$J$75)*G10))</f>
        <v>0</v>
      </c>
      <c r="AQ10" s="179">
        <f>AL10*$J$75*G10</f>
        <v>144</v>
      </c>
      <c r="AR10" s="180">
        <f>AO10/$L$71</f>
        <v>1.4530938123752495</v>
      </c>
      <c r="AS10" s="180">
        <f>AR10*0.09091</f>
        <v>0.13210075848303393</v>
      </c>
      <c r="AT10" s="180">
        <f>AS10+AR10</f>
        <v>1.5851945708582833</v>
      </c>
      <c r="AU10" s="181"/>
      <c r="AV10" s="182"/>
      <c r="AW10" s="183" t="s">
        <v>93</v>
      </c>
      <c r="AX10" s="184">
        <f>BG4</f>
        <v>1303</v>
      </c>
      <c r="AY10" s="185">
        <f t="shared" si="0"/>
        <v>8.1437500000000007</v>
      </c>
      <c r="AZ10" s="186">
        <f t="shared" ref="AZ10:AZ12" si="22">AY10*AO10</f>
        <v>23714.600000000002</v>
      </c>
      <c r="BA10" s="180">
        <f t="shared" si="2"/>
        <v>0</v>
      </c>
      <c r="BB10" s="180">
        <f t="shared" ref="BB10:BB12" si="23">AY10*AQ10</f>
        <v>1172.7</v>
      </c>
      <c r="BC10" s="180">
        <f t="shared" si="9"/>
        <v>1185.73</v>
      </c>
      <c r="BD10" s="187">
        <f t="shared" si="10"/>
        <v>1370.6535083725344</v>
      </c>
      <c r="BE10" s="188">
        <f t="shared" si="11"/>
        <v>0.14280000000000001</v>
      </c>
    </row>
    <row r="11" spans="1:63" ht="28" x14ac:dyDescent="0.35">
      <c r="A11" s="341"/>
      <c r="B11" s="190" t="s">
        <v>94</v>
      </c>
      <c r="C11" s="191"/>
      <c r="D11" s="171"/>
      <c r="E11" s="192"/>
      <c r="F11" s="192"/>
      <c r="G11" s="193">
        <v>1</v>
      </c>
      <c r="H11" s="147">
        <v>16</v>
      </c>
      <c r="I11" s="147">
        <v>8</v>
      </c>
      <c r="J11" s="194">
        <f>IF(H11="",0,IF((I11-H11&lt;=0),(24-H11+I11),(I11-H11)))</f>
        <v>16</v>
      </c>
      <c r="K11" s="195">
        <v>8</v>
      </c>
      <c r="L11" s="147">
        <v>16</v>
      </c>
      <c r="M11" s="147">
        <v>8</v>
      </c>
      <c r="N11" s="194">
        <f>IF(L11="",0,IF((M11-L11&lt;=0),(24-L11+M11),(M11-L11)))</f>
        <v>16</v>
      </c>
      <c r="O11" s="195">
        <v>8</v>
      </c>
      <c r="P11" s="147">
        <v>16</v>
      </c>
      <c r="Q11" s="147">
        <v>8</v>
      </c>
      <c r="R11" s="194">
        <f>IF(P11="",0,IF((Q11-P11&lt;=0),(24-P11+Q11),(Q11-P11)))</f>
        <v>16</v>
      </c>
      <c r="S11" s="195">
        <v>8</v>
      </c>
      <c r="T11" s="147">
        <v>16</v>
      </c>
      <c r="U11" s="147">
        <v>8</v>
      </c>
      <c r="V11" s="194">
        <f>IF(T11="",0,IF((U11-T11&lt;=0),(24-T11+U11),(U11-T11)))</f>
        <v>16</v>
      </c>
      <c r="W11" s="195">
        <v>8</v>
      </c>
      <c r="X11" s="147">
        <v>16</v>
      </c>
      <c r="Y11" s="147">
        <v>8</v>
      </c>
      <c r="Z11" s="194">
        <f>IF(X11="",0,IF((Y11-X11&lt;=0),(24-X11+Y11),(Y11-X11)))</f>
        <v>16</v>
      </c>
      <c r="AA11" s="195">
        <v>8</v>
      </c>
      <c r="AB11" s="147">
        <v>16</v>
      </c>
      <c r="AC11" s="147">
        <v>8</v>
      </c>
      <c r="AD11" s="194">
        <f>IF(AB11="",0,IF((AC11-AB11&lt;=0),(24-AB11+AC11),(AC11-AB11)))</f>
        <v>16</v>
      </c>
      <c r="AE11" s="195">
        <v>8</v>
      </c>
      <c r="AF11" s="147">
        <v>16</v>
      </c>
      <c r="AG11" s="147">
        <v>8</v>
      </c>
      <c r="AH11" s="194">
        <f>IF(AF11="",0,IF((AG11-AF11&lt;=0),(24-AF11+AG11),(AG11-AF11)))</f>
        <v>16</v>
      </c>
      <c r="AI11" s="195">
        <v>8</v>
      </c>
      <c r="AJ11" s="147">
        <v>16</v>
      </c>
      <c r="AK11" s="147">
        <v>8</v>
      </c>
      <c r="AL11" s="194">
        <f>IF(AJ11="",0,IF((AK11-AJ11&lt;=0),(24-AJ11+AK11),(AK11-AJ11)))</f>
        <v>16</v>
      </c>
      <c r="AM11" s="195">
        <v>8</v>
      </c>
      <c r="AN11" s="196">
        <f>J11+N11+R11+V11+Z11+AD11+AH11+AL11</f>
        <v>128</v>
      </c>
      <c r="AO11" s="177">
        <f t="shared" ref="AO11:AO12" si="24">IF(AN11=0,0,((J11*$C$72)+($D$72*N11)+(R11*$E$72)+(V11*$F$72)+($G$72*Z11)+(AD11*$H$73)+($I$74*AH11)+(AL11*$J$75)*G11))</f>
        <v>5824</v>
      </c>
      <c r="AP11" s="178">
        <f t="shared" ref="AP11:AP12" si="25">IF(AN11=0,0,((K11*$C$72)+($D$72*O11)+(S11*$E$72)+(W11*$F$72)+($G$72*AA11)+(AE11*$H$73)+($I$74*AI11)+(AM11*$J$75)*G11))</f>
        <v>2912</v>
      </c>
      <c r="AQ11" s="179">
        <f t="shared" ref="AQ11:AQ12" si="26">AL11*$J$75*G11</f>
        <v>288</v>
      </c>
      <c r="AR11" s="180">
        <f t="shared" ref="AR11:AR12" si="27">AO11/$L$71</f>
        <v>2.906187624750499</v>
      </c>
      <c r="AS11" s="180">
        <f t="shared" si="8"/>
        <v>0.26420151696606786</v>
      </c>
      <c r="AT11" s="197">
        <f>AS11+AR11</f>
        <v>3.1703891417165666</v>
      </c>
      <c r="AU11" s="198"/>
      <c r="AV11" s="199"/>
      <c r="AW11" s="200" t="s">
        <v>93</v>
      </c>
      <c r="AX11" s="201">
        <f>BG4</f>
        <v>1303</v>
      </c>
      <c r="AY11" s="185">
        <f t="shared" si="0"/>
        <v>8.1437500000000007</v>
      </c>
      <c r="AZ11" s="202">
        <f t="shared" si="22"/>
        <v>47429.200000000004</v>
      </c>
      <c r="BA11" s="203">
        <f t="shared" si="2"/>
        <v>11857.300000000001</v>
      </c>
      <c r="BB11" s="203">
        <f t="shared" si="23"/>
        <v>2345.4</v>
      </c>
      <c r="BC11" s="180">
        <f t="shared" si="9"/>
        <v>2371.46</v>
      </c>
      <c r="BD11" s="187">
        <f t="shared" si="10"/>
        <v>1682.3213476076685</v>
      </c>
      <c r="BE11" s="188">
        <f t="shared" si="11"/>
        <v>0.17519999999999999</v>
      </c>
    </row>
    <row r="12" spans="1:63" ht="17.5" x14ac:dyDescent="0.35">
      <c r="A12" s="341"/>
      <c r="B12" s="190" t="s">
        <v>95</v>
      </c>
      <c r="C12" s="191"/>
      <c r="D12" s="171"/>
      <c r="E12" s="192"/>
      <c r="F12" s="192"/>
      <c r="G12" s="193">
        <v>1</v>
      </c>
      <c r="H12" s="147">
        <v>8</v>
      </c>
      <c r="I12" s="147">
        <v>8</v>
      </c>
      <c r="J12" s="194">
        <f t="shared" ref="J12" si="28">IF(H12="",0,IF((I12-H12&lt;=0),(24-H12+I12),(I12-H12)))</f>
        <v>24</v>
      </c>
      <c r="K12" s="195">
        <v>8</v>
      </c>
      <c r="L12" s="147">
        <v>8</v>
      </c>
      <c r="M12" s="147">
        <v>8</v>
      </c>
      <c r="N12" s="194">
        <f t="shared" ref="N12" si="29">IF(L12="",0,IF((M12-L12&lt;=0),(24-L12+M12),(M12-L12)))</f>
        <v>24</v>
      </c>
      <c r="O12" s="195">
        <v>8</v>
      </c>
      <c r="P12" s="147">
        <v>8</v>
      </c>
      <c r="Q12" s="147">
        <v>8</v>
      </c>
      <c r="R12" s="194">
        <f t="shared" ref="R12" si="30">IF(P12="",0,IF((Q12-P12&lt;=0),(24-P12+Q12),(Q12-P12)))</f>
        <v>24</v>
      </c>
      <c r="S12" s="195">
        <v>8</v>
      </c>
      <c r="T12" s="147">
        <v>8</v>
      </c>
      <c r="U12" s="147">
        <v>8</v>
      </c>
      <c r="V12" s="194">
        <f t="shared" ref="V12" si="31">IF(T12="",0,IF((U12-T12&lt;=0),(24-T12+U12),(U12-T12)))</f>
        <v>24</v>
      </c>
      <c r="W12" s="195">
        <v>8</v>
      </c>
      <c r="X12" s="147">
        <v>8</v>
      </c>
      <c r="Y12" s="147">
        <v>8</v>
      </c>
      <c r="Z12" s="194">
        <f t="shared" ref="Z12" si="32">IF(X12="",0,IF((Y12-X12&lt;=0),(24-X12+Y12),(Y12-X12)))</f>
        <v>24</v>
      </c>
      <c r="AA12" s="195">
        <v>8</v>
      </c>
      <c r="AB12" s="147">
        <v>8</v>
      </c>
      <c r="AC12" s="147">
        <v>8</v>
      </c>
      <c r="AD12" s="194">
        <f t="shared" ref="AD12" si="33">IF(AB12="",0,IF((AC12-AB12&lt;=0),(24-AB12+AC12),(AC12-AB12)))</f>
        <v>24</v>
      </c>
      <c r="AE12" s="195">
        <v>8</v>
      </c>
      <c r="AF12" s="147">
        <v>8</v>
      </c>
      <c r="AG12" s="147">
        <v>8</v>
      </c>
      <c r="AH12" s="194">
        <f t="shared" ref="AH12" si="34">IF(AF12="",0,IF((AG12-AF12&lt;=0),(24-AF12+AG12),(AG12-AF12)))</f>
        <v>24</v>
      </c>
      <c r="AI12" s="195">
        <v>8</v>
      </c>
      <c r="AJ12" s="147">
        <v>8</v>
      </c>
      <c r="AK12" s="147">
        <v>8</v>
      </c>
      <c r="AL12" s="194">
        <f t="shared" ref="AL12" si="35">IF(AJ12="",0,IF((AK12-AJ12&lt;=0),(24-AJ12+AK12),(AK12-AJ12)))</f>
        <v>24</v>
      </c>
      <c r="AM12" s="195">
        <v>8</v>
      </c>
      <c r="AN12" s="196">
        <f t="shared" ref="AN12" si="36">J12+N12+R12+V12+Z12+AD12+AH12+AL12</f>
        <v>192</v>
      </c>
      <c r="AO12" s="177">
        <f t="shared" si="24"/>
        <v>8736</v>
      </c>
      <c r="AP12" s="178">
        <f t="shared" si="25"/>
        <v>2912</v>
      </c>
      <c r="AQ12" s="179">
        <f t="shared" si="26"/>
        <v>432</v>
      </c>
      <c r="AR12" s="180">
        <f t="shared" si="27"/>
        <v>4.3592814371257482</v>
      </c>
      <c r="AS12" s="180">
        <f t="shared" si="8"/>
        <v>0.39630227544910179</v>
      </c>
      <c r="AT12" s="197">
        <f t="shared" ref="AT12" si="37">AS12+AR12</f>
        <v>4.7555837125748504</v>
      </c>
      <c r="AU12" s="205"/>
      <c r="AV12" s="206"/>
      <c r="AW12" s="207"/>
      <c r="AX12" s="208">
        <f>BG4</f>
        <v>1303</v>
      </c>
      <c r="AY12" s="185">
        <f t="shared" si="0"/>
        <v>8.1437500000000007</v>
      </c>
      <c r="AZ12" s="202">
        <f t="shared" si="22"/>
        <v>71143.8</v>
      </c>
      <c r="BA12" s="197">
        <f t="shared" si="2"/>
        <v>11857.300000000001</v>
      </c>
      <c r="BB12" s="197">
        <f t="shared" si="23"/>
        <v>3518.1000000000004</v>
      </c>
      <c r="BC12" s="197">
        <f t="shared" si="9"/>
        <v>3557.1900000000005</v>
      </c>
      <c r="BD12" s="187">
        <f t="shared" si="10"/>
        <v>1578.4320678626236</v>
      </c>
      <c r="BE12" s="188">
        <f t="shared" si="11"/>
        <v>0.16439999999999999</v>
      </c>
    </row>
    <row r="13" spans="1:63" ht="28" x14ac:dyDescent="0.35">
      <c r="A13" s="342" t="s">
        <v>97</v>
      </c>
      <c r="B13" s="169" t="s">
        <v>92</v>
      </c>
      <c r="C13" s="170"/>
      <c r="D13" s="171"/>
      <c r="E13" s="172"/>
      <c r="F13" s="172"/>
      <c r="G13" s="173">
        <v>1</v>
      </c>
      <c r="H13" s="174">
        <v>8</v>
      </c>
      <c r="I13" s="174">
        <v>16</v>
      </c>
      <c r="J13" s="175">
        <f>IF(H13="",0,IF((I13-H13&lt;=0),(24-H13+I13),(I13-H13)))</f>
        <v>8</v>
      </c>
      <c r="K13" s="174"/>
      <c r="L13" s="174">
        <v>8</v>
      </c>
      <c r="M13" s="174">
        <v>16</v>
      </c>
      <c r="N13" s="175">
        <f>IF(L13="",0,IF((M13-L13&lt;=0),(24-L13+M13),(M13-L13)))</f>
        <v>8</v>
      </c>
      <c r="O13" s="174"/>
      <c r="P13" s="174">
        <v>8</v>
      </c>
      <c r="Q13" s="174">
        <v>16</v>
      </c>
      <c r="R13" s="175">
        <f>IF(P13="",0,IF((Q13-P13&lt;=0),(24-P13+Q13),(Q13-P13)))</f>
        <v>8</v>
      </c>
      <c r="S13" s="174"/>
      <c r="T13" s="174">
        <v>8</v>
      </c>
      <c r="U13" s="174">
        <v>16</v>
      </c>
      <c r="V13" s="175">
        <f>IF(T13="",0,IF((U13-T13&lt;=0),(24-T13+U13),(U13-T13)))</f>
        <v>8</v>
      </c>
      <c r="W13" s="174"/>
      <c r="X13" s="174">
        <v>8</v>
      </c>
      <c r="Y13" s="174">
        <v>16</v>
      </c>
      <c r="Z13" s="175">
        <f>IF(X13="",0,IF((Y13-X13&lt;=0),(24-X13+Y13),(Y13-X13)))</f>
        <v>8</v>
      </c>
      <c r="AA13" s="174"/>
      <c r="AB13" s="174">
        <v>8</v>
      </c>
      <c r="AC13" s="174">
        <v>16</v>
      </c>
      <c r="AD13" s="175">
        <f>IF(AB13="",0,IF((AC13-AB13&lt;=0),(24-AB13+AC13),(AC13-AB13)))</f>
        <v>8</v>
      </c>
      <c r="AE13" s="174"/>
      <c r="AF13" s="174">
        <v>8</v>
      </c>
      <c r="AG13" s="174">
        <v>16</v>
      </c>
      <c r="AH13" s="175">
        <f>IF(AF13="",0,IF((AG13-AF13&lt;=0),(24-AF13+AG13),(AG13-AF13)))</f>
        <v>8</v>
      </c>
      <c r="AI13" s="174"/>
      <c r="AJ13" s="174">
        <v>8</v>
      </c>
      <c r="AK13" s="174">
        <v>16</v>
      </c>
      <c r="AL13" s="175">
        <f>IF(AJ13="",0,IF((AK13-AJ13&lt;=0),(24-AJ13+AK13),(AK13-AJ13)))</f>
        <v>8</v>
      </c>
      <c r="AM13" s="174"/>
      <c r="AN13" s="176">
        <f>J13+N13+R13+V13+Z13+AD13+AH13+AL13</f>
        <v>64</v>
      </c>
      <c r="AO13" s="177">
        <f>IF(AN13=0,0,((J13*$C$72)+($D$72*N13)+(R13*$E$72)+(V13*$F$72)+($G$72*Z13)+(AD13*$H$73)+($I$74*AH13)+(AL13*$J$75)*G13))</f>
        <v>2912</v>
      </c>
      <c r="AP13" s="178">
        <f>IF(AN13=0,0,((K13*$C$72)+($D$72*O13)+(S13*$E$72)+(W13*$F$72)+($G$72*AA13)+(AE13*$H$73)+($I$74*AI13)+(AM13*$J$75)*G13))</f>
        <v>0</v>
      </c>
      <c r="AQ13" s="179">
        <f>AL13*$J$75*G13</f>
        <v>144</v>
      </c>
      <c r="AR13" s="180">
        <f>AO13/$L$71</f>
        <v>1.4530938123752495</v>
      </c>
      <c r="AS13" s="180">
        <f>AR13*0.09091</f>
        <v>0.13210075848303393</v>
      </c>
      <c r="AT13" s="180">
        <f>AS13+AR13</f>
        <v>1.5851945708582833</v>
      </c>
      <c r="AU13" s="181"/>
      <c r="AV13" s="182"/>
      <c r="AW13" s="183" t="s">
        <v>93</v>
      </c>
      <c r="AX13" s="184">
        <f>BG5</f>
        <v>854</v>
      </c>
      <c r="AY13" s="185">
        <f t="shared" si="0"/>
        <v>5.3375000000000004</v>
      </c>
      <c r="AZ13" s="186">
        <f t="shared" ref="AZ13:AZ15" si="38">AY13*AO13</f>
        <v>15542.800000000001</v>
      </c>
      <c r="BA13" s="180">
        <f t="shared" si="2"/>
        <v>0</v>
      </c>
      <c r="BB13" s="180">
        <f t="shared" ref="BB13:BB15" si="39">AY13*AQ13</f>
        <v>768.6</v>
      </c>
      <c r="BC13" s="180">
        <f t="shared" si="9"/>
        <v>777.1400000000001</v>
      </c>
      <c r="BD13" s="187">
        <f t="shared" si="10"/>
        <v>898.34082590187597</v>
      </c>
      <c r="BE13" s="188">
        <f t="shared" si="11"/>
        <v>9.3600000000000003E-2</v>
      </c>
    </row>
    <row r="14" spans="1:63" ht="28" x14ac:dyDescent="0.35">
      <c r="A14" s="342"/>
      <c r="B14" s="190" t="s">
        <v>94</v>
      </c>
      <c r="C14" s="191"/>
      <c r="D14" s="171"/>
      <c r="E14" s="192"/>
      <c r="F14" s="192"/>
      <c r="G14" s="193">
        <v>1</v>
      </c>
      <c r="H14" s="147">
        <v>16</v>
      </c>
      <c r="I14" s="147">
        <v>8</v>
      </c>
      <c r="J14" s="194">
        <f>IF(H14="",0,IF((I14-H14&lt;=0),(24-H14+I14),(I14-H14)))</f>
        <v>16</v>
      </c>
      <c r="K14" s="195">
        <v>8</v>
      </c>
      <c r="L14" s="147">
        <v>16</v>
      </c>
      <c r="M14" s="147">
        <v>8</v>
      </c>
      <c r="N14" s="194">
        <f>IF(L14="",0,IF((M14-L14&lt;=0),(24-L14+M14),(M14-L14)))</f>
        <v>16</v>
      </c>
      <c r="O14" s="195">
        <v>8</v>
      </c>
      <c r="P14" s="147">
        <v>16</v>
      </c>
      <c r="Q14" s="147">
        <v>8</v>
      </c>
      <c r="R14" s="194">
        <f>IF(P14="",0,IF((Q14-P14&lt;=0),(24-P14+Q14),(Q14-P14)))</f>
        <v>16</v>
      </c>
      <c r="S14" s="195">
        <v>8</v>
      </c>
      <c r="T14" s="147">
        <v>16</v>
      </c>
      <c r="U14" s="147">
        <v>8</v>
      </c>
      <c r="V14" s="194">
        <f>IF(T14="",0,IF((U14-T14&lt;=0),(24-T14+U14),(U14-T14)))</f>
        <v>16</v>
      </c>
      <c r="W14" s="195">
        <v>8</v>
      </c>
      <c r="X14" s="147">
        <v>16</v>
      </c>
      <c r="Y14" s="147">
        <v>8</v>
      </c>
      <c r="Z14" s="194">
        <f>IF(X14="",0,IF((Y14-X14&lt;=0),(24-X14+Y14),(Y14-X14)))</f>
        <v>16</v>
      </c>
      <c r="AA14" s="195">
        <v>8</v>
      </c>
      <c r="AB14" s="147">
        <v>16</v>
      </c>
      <c r="AC14" s="147">
        <v>8</v>
      </c>
      <c r="AD14" s="194">
        <f>IF(AB14="",0,IF((AC14-AB14&lt;=0),(24-AB14+AC14),(AC14-AB14)))</f>
        <v>16</v>
      </c>
      <c r="AE14" s="195">
        <v>8</v>
      </c>
      <c r="AF14" s="147">
        <v>16</v>
      </c>
      <c r="AG14" s="147">
        <v>8</v>
      </c>
      <c r="AH14" s="194">
        <f>IF(AF14="",0,IF((AG14-AF14&lt;=0),(24-AF14+AG14),(AG14-AF14)))</f>
        <v>16</v>
      </c>
      <c r="AI14" s="195">
        <v>8</v>
      </c>
      <c r="AJ14" s="147">
        <v>16</v>
      </c>
      <c r="AK14" s="147">
        <v>8</v>
      </c>
      <c r="AL14" s="194">
        <f>IF(AJ14="",0,IF((AK14-AJ14&lt;=0),(24-AJ14+AK14),(AK14-AJ14)))</f>
        <v>16</v>
      </c>
      <c r="AM14" s="195">
        <v>8</v>
      </c>
      <c r="AN14" s="196">
        <f>J14+N14+R14+V14+Z14+AD14+AH14+AL14</f>
        <v>128</v>
      </c>
      <c r="AO14" s="177">
        <f t="shared" ref="AO14:AO15" si="40">IF(AN14=0,0,((J14*$C$72)+($D$72*N14)+(R14*$E$72)+(V14*$F$72)+($G$72*Z14)+(AD14*$H$73)+($I$74*AH14)+(AL14*$J$75)*G14))</f>
        <v>5824</v>
      </c>
      <c r="AP14" s="178">
        <f t="shared" ref="AP14:AP15" si="41">IF(AN14=0,0,((K14*$C$72)+($D$72*O14)+(S14*$E$72)+(W14*$F$72)+($G$72*AA14)+(AE14*$H$73)+($I$74*AI14)+(AM14*$J$75)*G14))</f>
        <v>2912</v>
      </c>
      <c r="AQ14" s="179">
        <f t="shared" ref="AQ14:AQ15" si="42">AL14*$J$75*G14</f>
        <v>288</v>
      </c>
      <c r="AR14" s="180">
        <f t="shared" ref="AR14:AR15" si="43">AO14/$L$71</f>
        <v>2.906187624750499</v>
      </c>
      <c r="AS14" s="180">
        <f t="shared" si="8"/>
        <v>0.26420151696606786</v>
      </c>
      <c r="AT14" s="197">
        <f>AS14+AR14</f>
        <v>3.1703891417165666</v>
      </c>
      <c r="AU14" s="198"/>
      <c r="AV14" s="199"/>
      <c r="AW14" s="200" t="s">
        <v>93</v>
      </c>
      <c r="AX14" s="201">
        <f>BG5</f>
        <v>854</v>
      </c>
      <c r="AY14" s="185">
        <f t="shared" si="0"/>
        <v>5.3375000000000004</v>
      </c>
      <c r="AZ14" s="202">
        <f t="shared" si="38"/>
        <v>31085.600000000002</v>
      </c>
      <c r="BA14" s="203">
        <f t="shared" si="2"/>
        <v>7771.4000000000005</v>
      </c>
      <c r="BB14" s="203">
        <f t="shared" si="39"/>
        <v>1537.2</v>
      </c>
      <c r="BC14" s="180">
        <f t="shared" si="9"/>
        <v>1554.2800000000002</v>
      </c>
      <c r="BD14" s="187">
        <f t="shared" si="10"/>
        <v>1102.611228593207</v>
      </c>
      <c r="BE14" s="188">
        <f t="shared" si="11"/>
        <v>0.1149</v>
      </c>
    </row>
    <row r="15" spans="1:63" ht="17.5" x14ac:dyDescent="0.35">
      <c r="A15" s="342"/>
      <c r="B15" s="190" t="s">
        <v>95</v>
      </c>
      <c r="C15" s="191"/>
      <c r="D15" s="171"/>
      <c r="E15" s="192"/>
      <c r="F15" s="192"/>
      <c r="G15" s="193">
        <v>1</v>
      </c>
      <c r="H15" s="147">
        <v>8</v>
      </c>
      <c r="I15" s="147">
        <v>8</v>
      </c>
      <c r="J15" s="194">
        <f t="shared" ref="J15" si="44">IF(H15="",0,IF((I15-H15&lt;=0),(24-H15+I15),(I15-H15)))</f>
        <v>24</v>
      </c>
      <c r="K15" s="195">
        <v>8</v>
      </c>
      <c r="L15" s="147">
        <v>8</v>
      </c>
      <c r="M15" s="147">
        <v>8</v>
      </c>
      <c r="N15" s="194">
        <f t="shared" ref="N15" si="45">IF(L15="",0,IF((M15-L15&lt;=0),(24-L15+M15),(M15-L15)))</f>
        <v>24</v>
      </c>
      <c r="O15" s="195">
        <v>8</v>
      </c>
      <c r="P15" s="147">
        <v>8</v>
      </c>
      <c r="Q15" s="147">
        <v>8</v>
      </c>
      <c r="R15" s="194">
        <f t="shared" ref="R15" si="46">IF(P15="",0,IF((Q15-P15&lt;=0),(24-P15+Q15),(Q15-P15)))</f>
        <v>24</v>
      </c>
      <c r="S15" s="195">
        <v>8</v>
      </c>
      <c r="T15" s="147">
        <v>8</v>
      </c>
      <c r="U15" s="147">
        <v>8</v>
      </c>
      <c r="V15" s="194">
        <f t="shared" ref="V15" si="47">IF(T15="",0,IF((U15-T15&lt;=0),(24-T15+U15),(U15-T15)))</f>
        <v>24</v>
      </c>
      <c r="W15" s="195">
        <v>8</v>
      </c>
      <c r="X15" s="147">
        <v>8</v>
      </c>
      <c r="Y15" s="147">
        <v>8</v>
      </c>
      <c r="Z15" s="194">
        <f t="shared" ref="Z15" si="48">IF(X15="",0,IF((Y15-X15&lt;=0),(24-X15+Y15),(Y15-X15)))</f>
        <v>24</v>
      </c>
      <c r="AA15" s="195">
        <v>8</v>
      </c>
      <c r="AB15" s="147">
        <v>8</v>
      </c>
      <c r="AC15" s="147">
        <v>8</v>
      </c>
      <c r="AD15" s="194">
        <f t="shared" ref="AD15" si="49">IF(AB15="",0,IF((AC15-AB15&lt;=0),(24-AB15+AC15),(AC15-AB15)))</f>
        <v>24</v>
      </c>
      <c r="AE15" s="195">
        <v>8</v>
      </c>
      <c r="AF15" s="147">
        <v>8</v>
      </c>
      <c r="AG15" s="147">
        <v>8</v>
      </c>
      <c r="AH15" s="194">
        <f t="shared" ref="AH15" si="50">IF(AF15="",0,IF((AG15-AF15&lt;=0),(24-AF15+AG15),(AG15-AF15)))</f>
        <v>24</v>
      </c>
      <c r="AI15" s="195">
        <v>8</v>
      </c>
      <c r="AJ15" s="147">
        <v>8</v>
      </c>
      <c r="AK15" s="147">
        <v>8</v>
      </c>
      <c r="AL15" s="194">
        <f t="shared" ref="AL15" si="51">IF(AJ15="",0,IF((AK15-AJ15&lt;=0),(24-AJ15+AK15),(AK15-AJ15)))</f>
        <v>24</v>
      </c>
      <c r="AM15" s="195">
        <v>8</v>
      </c>
      <c r="AN15" s="196">
        <f t="shared" ref="AN15" si="52">J15+N15+R15+V15+Z15+AD15+AH15+AL15</f>
        <v>192</v>
      </c>
      <c r="AO15" s="177">
        <f t="shared" si="40"/>
        <v>8736</v>
      </c>
      <c r="AP15" s="178">
        <f t="shared" si="41"/>
        <v>2912</v>
      </c>
      <c r="AQ15" s="179">
        <f t="shared" si="42"/>
        <v>432</v>
      </c>
      <c r="AR15" s="180">
        <f t="shared" si="43"/>
        <v>4.3592814371257482</v>
      </c>
      <c r="AS15" s="180">
        <f t="shared" si="8"/>
        <v>0.39630227544910179</v>
      </c>
      <c r="AT15" s="197">
        <f t="shared" ref="AT15" si="53">AS15+AR15</f>
        <v>4.7555837125748504</v>
      </c>
      <c r="AU15" s="205"/>
      <c r="AV15" s="206"/>
      <c r="AW15" s="207"/>
      <c r="AX15" s="208">
        <f>BG5</f>
        <v>854</v>
      </c>
      <c r="AY15" s="185">
        <f t="shared" si="0"/>
        <v>5.3375000000000004</v>
      </c>
      <c r="AZ15" s="202">
        <f t="shared" si="38"/>
        <v>46628.4</v>
      </c>
      <c r="BA15" s="197">
        <f t="shared" si="2"/>
        <v>7771.4000000000005</v>
      </c>
      <c r="BB15" s="197">
        <f t="shared" si="39"/>
        <v>2305.8000000000002</v>
      </c>
      <c r="BC15" s="197">
        <f t="shared" si="9"/>
        <v>2331.42</v>
      </c>
      <c r="BD15" s="187">
        <f t="shared" si="10"/>
        <v>1034.5210943627633</v>
      </c>
      <c r="BE15" s="188">
        <f t="shared" si="11"/>
        <v>0.10780000000000001</v>
      </c>
    </row>
    <row r="16" spans="1:63" ht="31" x14ac:dyDescent="0.4">
      <c r="B16" s="340" t="s">
        <v>98</v>
      </c>
      <c r="C16" s="340"/>
      <c r="D16" s="340"/>
      <c r="E16" s="340"/>
      <c r="F16" s="340"/>
      <c r="G16" s="340"/>
      <c r="H16" s="340"/>
      <c r="I16" s="340"/>
      <c r="J16" s="340"/>
      <c r="K16" s="340"/>
      <c r="L16" s="340"/>
      <c r="M16" s="340"/>
      <c r="N16" s="340"/>
      <c r="Y16" s="209"/>
    </row>
    <row r="17" spans="2:53" ht="58" x14ac:dyDescent="0.4">
      <c r="B17" s="210" t="s">
        <v>99</v>
      </c>
      <c r="C17" s="211" t="s">
        <v>100</v>
      </c>
      <c r="D17" s="211" t="s">
        <v>101</v>
      </c>
      <c r="E17" s="211" t="s">
        <v>102</v>
      </c>
      <c r="F17" s="211" t="s">
        <v>103</v>
      </c>
      <c r="G17" s="212" t="s">
        <v>100</v>
      </c>
      <c r="H17" s="213" t="s">
        <v>2</v>
      </c>
      <c r="I17" s="214" t="s">
        <v>104</v>
      </c>
      <c r="J17" s="215" t="s">
        <v>105</v>
      </c>
      <c r="K17" s="210" t="s">
        <v>106</v>
      </c>
      <c r="L17" s="216" t="s">
        <v>107</v>
      </c>
      <c r="M17" s="216" t="s">
        <v>108</v>
      </c>
      <c r="N17" s="217" t="s">
        <v>109</v>
      </c>
    </row>
    <row r="18" spans="2:53" x14ac:dyDescent="0.4">
      <c r="B18" s="218" t="s">
        <v>110</v>
      </c>
      <c r="C18" s="219"/>
      <c r="D18" s="220"/>
      <c r="E18" s="220"/>
      <c r="F18" s="220"/>
      <c r="G18" s="220"/>
      <c r="H18" s="221"/>
      <c r="I18" s="222">
        <v>1</v>
      </c>
      <c r="J18" s="223"/>
      <c r="K18" s="224">
        <v>22</v>
      </c>
      <c r="L18" s="225">
        <v>176</v>
      </c>
      <c r="M18" s="226">
        <v>1</v>
      </c>
      <c r="N18" s="227"/>
      <c r="BA18" s="228"/>
    </row>
    <row r="19" spans="2:53" x14ac:dyDescent="0.4">
      <c r="B19" s="229"/>
      <c r="C19" s="230">
        <f t="shared" ref="C19:C35" si="54">I18+1</f>
        <v>2</v>
      </c>
      <c r="D19" s="230">
        <f>C19+1</f>
        <v>3</v>
      </c>
      <c r="E19" s="230">
        <f t="shared" ref="E19:I20" si="55">D19+1</f>
        <v>4</v>
      </c>
      <c r="F19" s="230">
        <f t="shared" si="55"/>
        <v>5</v>
      </c>
      <c r="G19" s="230">
        <f t="shared" si="55"/>
        <v>6</v>
      </c>
      <c r="H19" s="231">
        <f t="shared" si="55"/>
        <v>7</v>
      </c>
      <c r="I19" s="232">
        <f t="shared" si="55"/>
        <v>8</v>
      </c>
      <c r="J19" s="233"/>
      <c r="K19" s="234"/>
      <c r="L19" s="235"/>
      <c r="M19" s="235"/>
      <c r="N19" s="236"/>
    </row>
    <row r="20" spans="2:53" x14ac:dyDescent="0.4">
      <c r="B20" s="229"/>
      <c r="C20" s="230">
        <f t="shared" si="54"/>
        <v>9</v>
      </c>
      <c r="D20" s="230">
        <f>C20+1</f>
        <v>10</v>
      </c>
      <c r="E20" s="230">
        <f t="shared" si="55"/>
        <v>11</v>
      </c>
      <c r="F20" s="230">
        <f t="shared" si="55"/>
        <v>12</v>
      </c>
      <c r="G20" s="230">
        <f t="shared" si="55"/>
        <v>13</v>
      </c>
      <c r="H20" s="231">
        <f t="shared" si="55"/>
        <v>14</v>
      </c>
      <c r="I20" s="232">
        <f t="shared" si="55"/>
        <v>15</v>
      </c>
      <c r="J20" s="233"/>
      <c r="K20" s="234"/>
      <c r="L20" s="235"/>
      <c r="M20" s="235"/>
      <c r="N20" s="236"/>
    </row>
    <row r="21" spans="2:53" x14ac:dyDescent="0.4">
      <c r="B21" s="229"/>
      <c r="C21" s="230">
        <f t="shared" si="54"/>
        <v>16</v>
      </c>
      <c r="D21" s="230">
        <f t="shared" ref="D21:I23" si="56">C21+1</f>
        <v>17</v>
      </c>
      <c r="E21" s="230">
        <f t="shared" si="56"/>
        <v>18</v>
      </c>
      <c r="F21" s="230">
        <f t="shared" si="56"/>
        <v>19</v>
      </c>
      <c r="G21" s="230">
        <f t="shared" si="56"/>
        <v>20</v>
      </c>
      <c r="H21" s="231">
        <f t="shared" si="56"/>
        <v>21</v>
      </c>
      <c r="I21" s="232">
        <f t="shared" si="56"/>
        <v>22</v>
      </c>
      <c r="J21" s="233"/>
      <c r="K21" s="234"/>
      <c r="L21" s="235"/>
      <c r="M21" s="235"/>
      <c r="N21" s="236"/>
    </row>
    <row r="22" spans="2:53" x14ac:dyDescent="0.4">
      <c r="B22" s="237"/>
      <c r="C22" s="230">
        <f t="shared" si="54"/>
        <v>23</v>
      </c>
      <c r="D22" s="230">
        <f t="shared" si="56"/>
        <v>24</v>
      </c>
      <c r="E22" s="230">
        <f t="shared" si="56"/>
        <v>25</v>
      </c>
      <c r="F22" s="230">
        <f t="shared" si="56"/>
        <v>26</v>
      </c>
      <c r="G22" s="230">
        <f t="shared" si="56"/>
        <v>27</v>
      </c>
      <c r="H22" s="231">
        <f t="shared" si="56"/>
        <v>28</v>
      </c>
      <c r="I22" s="232">
        <f t="shared" si="56"/>
        <v>29</v>
      </c>
      <c r="J22" s="233"/>
      <c r="K22" s="234"/>
      <c r="L22" s="235"/>
      <c r="M22" s="235"/>
      <c r="N22" s="236"/>
    </row>
    <row r="23" spans="2:53" x14ac:dyDescent="0.4">
      <c r="B23" s="238" t="s">
        <v>111</v>
      </c>
      <c r="C23" s="230">
        <f t="shared" si="54"/>
        <v>30</v>
      </c>
      <c r="D23" s="230">
        <f>C23+1</f>
        <v>31</v>
      </c>
      <c r="E23" s="230">
        <v>1</v>
      </c>
      <c r="F23" s="230">
        <f t="shared" si="56"/>
        <v>2</v>
      </c>
      <c r="G23" s="230">
        <f t="shared" si="56"/>
        <v>3</v>
      </c>
      <c r="H23" s="231">
        <f t="shared" si="56"/>
        <v>4</v>
      </c>
      <c r="I23" s="232">
        <f t="shared" si="56"/>
        <v>5</v>
      </c>
      <c r="J23" s="233"/>
      <c r="K23" s="234">
        <v>20</v>
      </c>
      <c r="L23" s="235">
        <v>160</v>
      </c>
      <c r="M23" s="235"/>
      <c r="N23" s="236"/>
    </row>
    <row r="24" spans="2:53" x14ac:dyDescent="0.4">
      <c r="B24" s="229"/>
      <c r="C24" s="230">
        <f t="shared" si="54"/>
        <v>6</v>
      </c>
      <c r="D24" s="230">
        <f t="shared" ref="D24:I39" si="57">C24+1</f>
        <v>7</v>
      </c>
      <c r="E24" s="230">
        <f t="shared" si="57"/>
        <v>8</v>
      </c>
      <c r="F24" s="230">
        <f t="shared" si="57"/>
        <v>9</v>
      </c>
      <c r="G24" s="230">
        <f t="shared" si="57"/>
        <v>10</v>
      </c>
      <c r="H24" s="231">
        <f t="shared" si="57"/>
        <v>11</v>
      </c>
      <c r="I24" s="232">
        <f t="shared" si="57"/>
        <v>12</v>
      </c>
      <c r="J24" s="233"/>
      <c r="K24" s="234"/>
      <c r="L24" s="235"/>
      <c r="M24" s="235"/>
      <c r="N24" s="236"/>
    </row>
    <row r="25" spans="2:53" x14ac:dyDescent="0.4">
      <c r="B25" s="229"/>
      <c r="C25" s="230">
        <f t="shared" si="54"/>
        <v>13</v>
      </c>
      <c r="D25" s="230">
        <f t="shared" si="57"/>
        <v>14</v>
      </c>
      <c r="E25" s="230">
        <f t="shared" si="57"/>
        <v>15</v>
      </c>
      <c r="F25" s="230">
        <f t="shared" si="57"/>
        <v>16</v>
      </c>
      <c r="G25" s="230">
        <f t="shared" si="57"/>
        <v>17</v>
      </c>
      <c r="H25" s="231">
        <f t="shared" si="57"/>
        <v>18</v>
      </c>
      <c r="I25" s="232">
        <f t="shared" si="57"/>
        <v>19</v>
      </c>
      <c r="J25" s="233"/>
      <c r="K25" s="234"/>
      <c r="L25" s="235"/>
      <c r="M25" s="235"/>
      <c r="N25" s="236"/>
    </row>
    <row r="26" spans="2:53" x14ac:dyDescent="0.4">
      <c r="B26" s="229"/>
      <c r="C26" s="230">
        <f t="shared" si="54"/>
        <v>20</v>
      </c>
      <c r="D26" s="230">
        <f t="shared" si="57"/>
        <v>21</v>
      </c>
      <c r="E26" s="230">
        <f t="shared" si="57"/>
        <v>22</v>
      </c>
      <c r="F26" s="230">
        <f t="shared" si="57"/>
        <v>23</v>
      </c>
      <c r="G26" s="230">
        <f t="shared" si="57"/>
        <v>24</v>
      </c>
      <c r="H26" s="231">
        <f t="shared" si="57"/>
        <v>25</v>
      </c>
      <c r="I26" s="232">
        <f t="shared" si="57"/>
        <v>26</v>
      </c>
      <c r="J26" s="233"/>
      <c r="K26" s="234"/>
      <c r="L26" s="235"/>
      <c r="M26" s="235"/>
      <c r="N26" s="220"/>
    </row>
    <row r="27" spans="2:53" x14ac:dyDescent="0.4">
      <c r="B27" s="238" t="s">
        <v>112</v>
      </c>
      <c r="C27" s="230">
        <f t="shared" si="54"/>
        <v>27</v>
      </c>
      <c r="D27" s="230">
        <f t="shared" si="57"/>
        <v>28</v>
      </c>
      <c r="E27" s="230">
        <v>1</v>
      </c>
      <c r="F27" s="230">
        <f t="shared" si="57"/>
        <v>2</v>
      </c>
      <c r="G27" s="230">
        <f t="shared" si="57"/>
        <v>3</v>
      </c>
      <c r="H27" s="231">
        <f t="shared" si="57"/>
        <v>4</v>
      </c>
      <c r="I27" s="232">
        <f t="shared" si="57"/>
        <v>5</v>
      </c>
      <c r="J27" s="233"/>
      <c r="K27" s="234">
        <v>23</v>
      </c>
      <c r="L27" s="235">
        <v>184</v>
      </c>
      <c r="M27" s="235"/>
      <c r="N27" s="236"/>
    </row>
    <row r="28" spans="2:53" x14ac:dyDescent="0.4">
      <c r="B28" s="229"/>
      <c r="C28" s="230">
        <f t="shared" si="54"/>
        <v>6</v>
      </c>
      <c r="D28" s="230">
        <f t="shared" si="57"/>
        <v>7</v>
      </c>
      <c r="E28" s="230">
        <f t="shared" si="57"/>
        <v>8</v>
      </c>
      <c r="F28" s="230">
        <f t="shared" si="57"/>
        <v>9</v>
      </c>
      <c r="G28" s="230">
        <f t="shared" si="57"/>
        <v>10</v>
      </c>
      <c r="H28" s="231">
        <f t="shared" si="57"/>
        <v>11</v>
      </c>
      <c r="I28" s="232">
        <f t="shared" si="57"/>
        <v>12</v>
      </c>
      <c r="J28" s="233"/>
      <c r="K28" s="234"/>
      <c r="L28" s="235"/>
      <c r="M28" s="235"/>
      <c r="N28" s="236"/>
    </row>
    <row r="29" spans="2:53" x14ac:dyDescent="0.4">
      <c r="B29" s="229"/>
      <c r="C29" s="230">
        <f t="shared" si="54"/>
        <v>13</v>
      </c>
      <c r="D29" s="230">
        <f t="shared" si="57"/>
        <v>14</v>
      </c>
      <c r="E29" s="230">
        <f t="shared" si="57"/>
        <v>15</v>
      </c>
      <c r="F29" s="230">
        <f t="shared" si="57"/>
        <v>16</v>
      </c>
      <c r="G29" s="230">
        <f t="shared" si="57"/>
        <v>17</v>
      </c>
      <c r="H29" s="231">
        <f t="shared" si="57"/>
        <v>18</v>
      </c>
      <c r="I29" s="232">
        <f t="shared" si="57"/>
        <v>19</v>
      </c>
      <c r="J29" s="233"/>
      <c r="K29" s="234"/>
      <c r="L29" s="235"/>
      <c r="M29" s="235"/>
      <c r="N29" s="236"/>
    </row>
    <row r="30" spans="2:53" x14ac:dyDescent="0.4">
      <c r="B30" s="229"/>
      <c r="C30" s="230">
        <f t="shared" si="54"/>
        <v>20</v>
      </c>
      <c r="D30" s="230">
        <f t="shared" si="57"/>
        <v>21</v>
      </c>
      <c r="E30" s="230">
        <f t="shared" si="57"/>
        <v>22</v>
      </c>
      <c r="F30" s="230">
        <f t="shared" si="57"/>
        <v>23</v>
      </c>
      <c r="G30" s="230">
        <f t="shared" si="57"/>
        <v>24</v>
      </c>
      <c r="H30" s="231">
        <f t="shared" si="57"/>
        <v>25</v>
      </c>
      <c r="I30" s="232">
        <f t="shared" si="57"/>
        <v>26</v>
      </c>
      <c r="J30" s="233"/>
      <c r="K30" s="234"/>
      <c r="L30" s="235"/>
      <c r="M30" s="235"/>
      <c r="N30" s="236"/>
    </row>
    <row r="31" spans="2:53" x14ac:dyDescent="0.4">
      <c r="B31" s="238" t="s">
        <v>113</v>
      </c>
      <c r="C31" s="230">
        <f t="shared" si="54"/>
        <v>27</v>
      </c>
      <c r="D31" s="230">
        <f t="shared" si="57"/>
        <v>28</v>
      </c>
      <c r="E31" s="230">
        <f t="shared" si="57"/>
        <v>29</v>
      </c>
      <c r="F31" s="230">
        <f t="shared" si="57"/>
        <v>30</v>
      </c>
      <c r="G31" s="230">
        <f t="shared" si="57"/>
        <v>31</v>
      </c>
      <c r="H31" s="231">
        <v>1</v>
      </c>
      <c r="I31" s="232">
        <f t="shared" si="57"/>
        <v>2</v>
      </c>
      <c r="J31" s="233"/>
      <c r="K31" s="234"/>
      <c r="L31" s="235"/>
      <c r="M31" s="235"/>
      <c r="N31" s="236"/>
    </row>
    <row r="32" spans="2:53" x14ac:dyDescent="0.4">
      <c r="B32" s="237"/>
      <c r="C32" s="230">
        <f t="shared" si="54"/>
        <v>3</v>
      </c>
      <c r="D32" s="230">
        <f t="shared" si="57"/>
        <v>4</v>
      </c>
      <c r="E32" s="230">
        <f t="shared" si="57"/>
        <v>5</v>
      </c>
      <c r="F32" s="230">
        <f t="shared" si="57"/>
        <v>6</v>
      </c>
      <c r="G32" s="239">
        <f t="shared" si="57"/>
        <v>7</v>
      </c>
      <c r="H32" s="231">
        <f t="shared" si="57"/>
        <v>8</v>
      </c>
      <c r="I32" s="239">
        <f t="shared" si="57"/>
        <v>9</v>
      </c>
      <c r="J32" s="233"/>
      <c r="K32" s="234">
        <v>18</v>
      </c>
      <c r="L32" s="235">
        <v>143</v>
      </c>
      <c r="M32" s="240">
        <v>3</v>
      </c>
      <c r="N32" s="236"/>
    </row>
    <row r="33" spans="2:14" x14ac:dyDescent="0.4">
      <c r="B33" s="229"/>
      <c r="C33" s="239">
        <f t="shared" si="54"/>
        <v>10</v>
      </c>
      <c r="D33" s="230">
        <f t="shared" si="57"/>
        <v>11</v>
      </c>
      <c r="E33" s="230">
        <f t="shared" si="57"/>
        <v>12</v>
      </c>
      <c r="F33" s="230">
        <f t="shared" si="57"/>
        <v>13</v>
      </c>
      <c r="G33" s="230">
        <f t="shared" si="57"/>
        <v>14</v>
      </c>
      <c r="H33" s="231">
        <f t="shared" si="57"/>
        <v>15</v>
      </c>
      <c r="I33" s="232">
        <f t="shared" si="57"/>
        <v>16</v>
      </c>
      <c r="J33" s="233"/>
      <c r="K33" s="234"/>
      <c r="L33" s="235"/>
      <c r="M33" s="235"/>
      <c r="N33" s="236"/>
    </row>
    <row r="34" spans="2:14" x14ac:dyDescent="0.4">
      <c r="B34" s="229"/>
      <c r="C34" s="230">
        <f t="shared" si="54"/>
        <v>17</v>
      </c>
      <c r="D34" s="230">
        <f t="shared" si="57"/>
        <v>18</v>
      </c>
      <c r="E34" s="230">
        <f t="shared" si="57"/>
        <v>19</v>
      </c>
      <c r="F34" s="230">
        <f t="shared" si="57"/>
        <v>20</v>
      </c>
      <c r="G34" s="230">
        <f t="shared" si="57"/>
        <v>21</v>
      </c>
      <c r="H34" s="231">
        <f t="shared" si="57"/>
        <v>22</v>
      </c>
      <c r="I34" s="232">
        <f t="shared" si="57"/>
        <v>23</v>
      </c>
      <c r="J34" s="233"/>
      <c r="K34" s="234"/>
      <c r="L34" s="235"/>
      <c r="M34" s="235"/>
      <c r="N34" s="236"/>
    </row>
    <row r="35" spans="2:14" x14ac:dyDescent="0.4">
      <c r="B35" s="229"/>
      <c r="C35" s="230">
        <f t="shared" si="54"/>
        <v>24</v>
      </c>
      <c r="D35" s="230">
        <f t="shared" si="57"/>
        <v>25</v>
      </c>
      <c r="E35" s="230">
        <f t="shared" si="57"/>
        <v>26</v>
      </c>
      <c r="F35" s="230">
        <f t="shared" si="57"/>
        <v>27</v>
      </c>
      <c r="G35" s="230">
        <f t="shared" si="57"/>
        <v>28</v>
      </c>
      <c r="H35" s="231">
        <f t="shared" si="57"/>
        <v>29</v>
      </c>
      <c r="I35" s="232">
        <f t="shared" si="57"/>
        <v>30</v>
      </c>
      <c r="J35" s="233"/>
      <c r="K35" s="234"/>
      <c r="L35" s="235"/>
      <c r="M35" s="235"/>
      <c r="N35" s="236"/>
    </row>
    <row r="36" spans="2:14" x14ac:dyDescent="0.4">
      <c r="B36" s="238" t="s">
        <v>114</v>
      </c>
      <c r="C36" s="239">
        <v>1</v>
      </c>
      <c r="D36" s="230">
        <f t="shared" si="57"/>
        <v>2</v>
      </c>
      <c r="E36" s="230">
        <f t="shared" si="57"/>
        <v>3</v>
      </c>
      <c r="F36" s="239">
        <f t="shared" si="57"/>
        <v>4</v>
      </c>
      <c r="G36" s="241">
        <f t="shared" si="57"/>
        <v>5</v>
      </c>
      <c r="H36" s="242">
        <f t="shared" si="57"/>
        <v>6</v>
      </c>
      <c r="I36" s="232">
        <f t="shared" si="57"/>
        <v>7</v>
      </c>
      <c r="J36" s="233"/>
      <c r="K36" s="234">
        <v>21</v>
      </c>
      <c r="L36" s="235">
        <v>167</v>
      </c>
      <c r="M36" s="240">
        <v>4</v>
      </c>
      <c r="N36" s="243">
        <v>1</v>
      </c>
    </row>
    <row r="37" spans="2:14" x14ac:dyDescent="0.4">
      <c r="B37" s="229"/>
      <c r="C37" s="230">
        <f>I36+1</f>
        <v>8</v>
      </c>
      <c r="D37" s="230">
        <f t="shared" si="57"/>
        <v>9</v>
      </c>
      <c r="E37" s="230">
        <f t="shared" si="57"/>
        <v>10</v>
      </c>
      <c r="F37" s="230">
        <f t="shared" si="57"/>
        <v>11</v>
      </c>
      <c r="G37" s="230">
        <f t="shared" si="57"/>
        <v>12</v>
      </c>
      <c r="H37" s="231">
        <f t="shared" si="57"/>
        <v>13</v>
      </c>
      <c r="I37" s="239">
        <f t="shared" si="57"/>
        <v>14</v>
      </c>
      <c r="J37" s="233"/>
      <c r="K37" s="234"/>
      <c r="L37" s="235"/>
      <c r="M37" s="235"/>
      <c r="N37" s="236"/>
    </row>
    <row r="38" spans="2:14" x14ac:dyDescent="0.4">
      <c r="B38" s="229"/>
      <c r="C38" s="230">
        <f>I37+1</f>
        <v>15</v>
      </c>
      <c r="D38" s="230">
        <f t="shared" si="57"/>
        <v>16</v>
      </c>
      <c r="E38" s="230">
        <f t="shared" si="57"/>
        <v>17</v>
      </c>
      <c r="F38" s="230">
        <f t="shared" si="57"/>
        <v>18</v>
      </c>
      <c r="G38" s="230">
        <f t="shared" si="57"/>
        <v>19</v>
      </c>
      <c r="H38" s="241">
        <f t="shared" si="57"/>
        <v>20</v>
      </c>
      <c r="I38" s="232">
        <f t="shared" si="57"/>
        <v>21</v>
      </c>
      <c r="J38" s="233"/>
      <c r="K38" s="234"/>
      <c r="L38" s="235"/>
      <c r="M38" s="235"/>
      <c r="N38" s="236"/>
    </row>
    <row r="39" spans="2:14" x14ac:dyDescent="0.4">
      <c r="B39" s="229"/>
      <c r="C39" s="230">
        <f>I38+1</f>
        <v>22</v>
      </c>
      <c r="D39" s="230">
        <f t="shared" si="57"/>
        <v>23</v>
      </c>
      <c r="E39" s="230">
        <f t="shared" si="57"/>
        <v>24</v>
      </c>
      <c r="F39" s="230">
        <f t="shared" si="57"/>
        <v>25</v>
      </c>
      <c r="G39" s="230">
        <f t="shared" si="57"/>
        <v>26</v>
      </c>
      <c r="H39" s="231">
        <f t="shared" si="57"/>
        <v>27</v>
      </c>
      <c r="I39" s="239">
        <f t="shared" si="57"/>
        <v>28</v>
      </c>
      <c r="J39" s="233"/>
      <c r="K39" s="234"/>
      <c r="L39" s="235"/>
      <c r="M39" s="235"/>
      <c r="N39" s="236"/>
    </row>
    <row r="40" spans="2:14" x14ac:dyDescent="0.4">
      <c r="B40" s="238" t="s">
        <v>115</v>
      </c>
      <c r="C40" s="230">
        <f>I39+1</f>
        <v>29</v>
      </c>
      <c r="D40" s="230">
        <f t="shared" ref="D40:I48" si="58">C40+1</f>
        <v>30</v>
      </c>
      <c r="E40" s="230">
        <f t="shared" si="58"/>
        <v>31</v>
      </c>
      <c r="F40" s="230">
        <v>1</v>
      </c>
      <c r="G40" s="230">
        <f t="shared" si="58"/>
        <v>2</v>
      </c>
      <c r="H40" s="231">
        <f t="shared" si="58"/>
        <v>3</v>
      </c>
      <c r="I40" s="232">
        <f t="shared" si="58"/>
        <v>4</v>
      </c>
      <c r="J40" s="233"/>
      <c r="K40" s="234">
        <v>21</v>
      </c>
      <c r="L40" s="235">
        <v>167</v>
      </c>
      <c r="M40" s="240">
        <v>2</v>
      </c>
      <c r="N40" s="236"/>
    </row>
    <row r="41" spans="2:14" x14ac:dyDescent="0.4">
      <c r="B41" s="229"/>
      <c r="C41" s="230">
        <f t="shared" ref="C41:C69" si="59">I40+1</f>
        <v>5</v>
      </c>
      <c r="D41" s="230">
        <f t="shared" si="58"/>
        <v>6</v>
      </c>
      <c r="E41" s="230">
        <f t="shared" si="58"/>
        <v>7</v>
      </c>
      <c r="F41" s="230">
        <f t="shared" si="58"/>
        <v>8</v>
      </c>
      <c r="G41" s="230">
        <f t="shared" si="58"/>
        <v>9</v>
      </c>
      <c r="H41" s="231">
        <f t="shared" si="58"/>
        <v>10</v>
      </c>
      <c r="I41" s="232">
        <f t="shared" si="58"/>
        <v>11</v>
      </c>
      <c r="J41" s="233"/>
      <c r="K41" s="234"/>
      <c r="L41" s="235"/>
      <c r="M41" s="235"/>
      <c r="N41" s="236"/>
    </row>
    <row r="42" spans="2:14" x14ac:dyDescent="0.4">
      <c r="B42" s="229"/>
      <c r="C42" s="230">
        <f t="shared" si="59"/>
        <v>12</v>
      </c>
      <c r="D42" s="230">
        <f t="shared" si="58"/>
        <v>13</v>
      </c>
      <c r="E42" s="230">
        <f t="shared" si="58"/>
        <v>14</v>
      </c>
      <c r="F42" s="230">
        <f t="shared" si="58"/>
        <v>15</v>
      </c>
      <c r="G42" s="230">
        <f t="shared" si="58"/>
        <v>16</v>
      </c>
      <c r="H42" s="231">
        <f t="shared" si="58"/>
        <v>17</v>
      </c>
      <c r="I42" s="232">
        <f t="shared" si="58"/>
        <v>18</v>
      </c>
      <c r="J42" s="233"/>
      <c r="K42" s="234"/>
      <c r="L42" s="235"/>
      <c r="M42" s="235"/>
      <c r="N42" s="236"/>
    </row>
    <row r="43" spans="2:14" x14ac:dyDescent="0.4">
      <c r="B43" s="229"/>
      <c r="C43" s="230">
        <f t="shared" si="59"/>
        <v>19</v>
      </c>
      <c r="D43" s="230">
        <f t="shared" si="58"/>
        <v>20</v>
      </c>
      <c r="E43" s="230">
        <f t="shared" si="58"/>
        <v>21</v>
      </c>
      <c r="F43" s="230">
        <f t="shared" si="58"/>
        <v>22</v>
      </c>
      <c r="G43" s="239">
        <f t="shared" si="58"/>
        <v>23</v>
      </c>
      <c r="H43" s="239">
        <f t="shared" si="58"/>
        <v>24</v>
      </c>
      <c r="I43" s="232">
        <f t="shared" si="58"/>
        <v>25</v>
      </c>
      <c r="J43" s="233"/>
      <c r="K43" s="234"/>
      <c r="L43" s="235"/>
      <c r="M43" s="235"/>
      <c r="N43" s="236"/>
    </row>
    <row r="44" spans="2:14" x14ac:dyDescent="0.4">
      <c r="B44" s="238" t="s">
        <v>116</v>
      </c>
      <c r="C44" s="230">
        <f t="shared" si="59"/>
        <v>26</v>
      </c>
      <c r="D44" s="230">
        <f t="shared" si="58"/>
        <v>27</v>
      </c>
      <c r="E44" s="230">
        <f t="shared" si="58"/>
        <v>28</v>
      </c>
      <c r="F44" s="230">
        <f t="shared" si="58"/>
        <v>29</v>
      </c>
      <c r="G44" s="230">
        <f t="shared" si="58"/>
        <v>30</v>
      </c>
      <c r="H44" s="231">
        <v>1</v>
      </c>
      <c r="I44" s="232">
        <f t="shared" si="58"/>
        <v>2</v>
      </c>
      <c r="J44" s="233"/>
      <c r="K44" s="234">
        <v>20</v>
      </c>
      <c r="L44" s="235">
        <v>160</v>
      </c>
      <c r="M44" s="240">
        <v>2</v>
      </c>
      <c r="N44" s="236"/>
    </row>
    <row r="45" spans="2:14" x14ac:dyDescent="0.4">
      <c r="B45" s="237"/>
      <c r="C45" s="230">
        <f t="shared" si="59"/>
        <v>3</v>
      </c>
      <c r="D45" s="230">
        <f t="shared" si="58"/>
        <v>4</v>
      </c>
      <c r="E45" s="230">
        <f t="shared" si="58"/>
        <v>5</v>
      </c>
      <c r="F45" s="230">
        <f t="shared" si="58"/>
        <v>6</v>
      </c>
      <c r="G45" s="230">
        <f t="shared" si="58"/>
        <v>7</v>
      </c>
      <c r="H45" s="231">
        <f t="shared" si="58"/>
        <v>8</v>
      </c>
      <c r="I45" s="239">
        <f t="shared" si="58"/>
        <v>9</v>
      </c>
      <c r="J45" s="233"/>
      <c r="K45" s="234"/>
      <c r="L45" s="235"/>
      <c r="M45" s="235"/>
      <c r="N45" s="236"/>
    </row>
    <row r="46" spans="2:14" x14ac:dyDescent="0.4">
      <c r="B46" s="229"/>
      <c r="C46" s="239">
        <f t="shared" si="59"/>
        <v>10</v>
      </c>
      <c r="D46" s="230">
        <f t="shared" si="58"/>
        <v>11</v>
      </c>
      <c r="E46" s="230">
        <f t="shared" si="58"/>
        <v>12</v>
      </c>
      <c r="F46" s="230">
        <f t="shared" si="58"/>
        <v>13</v>
      </c>
      <c r="G46" s="230">
        <f t="shared" si="58"/>
        <v>14</v>
      </c>
      <c r="H46" s="231">
        <f t="shared" si="58"/>
        <v>15</v>
      </c>
      <c r="I46" s="232">
        <f t="shared" si="58"/>
        <v>16</v>
      </c>
      <c r="J46" s="233"/>
      <c r="K46" s="234"/>
      <c r="L46" s="235"/>
      <c r="M46" s="235"/>
      <c r="N46" s="236"/>
    </row>
    <row r="47" spans="2:14" x14ac:dyDescent="0.4">
      <c r="B47" s="229"/>
      <c r="C47" s="230">
        <f t="shared" si="59"/>
        <v>17</v>
      </c>
      <c r="D47" s="230">
        <f t="shared" si="58"/>
        <v>18</v>
      </c>
      <c r="E47" s="230">
        <f t="shared" si="58"/>
        <v>19</v>
      </c>
      <c r="F47" s="230">
        <f t="shared" si="58"/>
        <v>20</v>
      </c>
      <c r="G47" s="230">
        <f t="shared" si="58"/>
        <v>21</v>
      </c>
      <c r="H47" s="231">
        <f t="shared" si="58"/>
        <v>22</v>
      </c>
      <c r="I47" s="232">
        <f t="shared" si="58"/>
        <v>23</v>
      </c>
      <c r="J47" s="233"/>
      <c r="K47" s="234"/>
      <c r="L47" s="235"/>
      <c r="M47" s="235"/>
      <c r="N47" s="236"/>
    </row>
    <row r="48" spans="2:14" x14ac:dyDescent="0.4">
      <c r="B48" s="229"/>
      <c r="C48" s="230">
        <f t="shared" si="59"/>
        <v>24</v>
      </c>
      <c r="D48" s="230">
        <f t="shared" si="58"/>
        <v>25</v>
      </c>
      <c r="E48" s="230">
        <f t="shared" si="58"/>
        <v>26</v>
      </c>
      <c r="F48" s="230">
        <f t="shared" si="58"/>
        <v>27</v>
      </c>
      <c r="G48" s="230">
        <f t="shared" si="58"/>
        <v>28</v>
      </c>
      <c r="H48" s="231">
        <f t="shared" si="58"/>
        <v>29</v>
      </c>
      <c r="I48" s="232">
        <f t="shared" si="58"/>
        <v>30</v>
      </c>
      <c r="J48" s="233"/>
      <c r="K48" s="234"/>
      <c r="L48" s="235"/>
      <c r="M48" s="235"/>
      <c r="N48" s="236"/>
    </row>
    <row r="49" spans="2:14" x14ac:dyDescent="0.4">
      <c r="B49" s="238" t="s">
        <v>117</v>
      </c>
      <c r="C49" s="230">
        <f t="shared" si="59"/>
        <v>31</v>
      </c>
      <c r="D49" s="230">
        <v>1</v>
      </c>
      <c r="E49" s="230">
        <f>D49+1</f>
        <v>2</v>
      </c>
      <c r="F49" s="230">
        <f>E49+1</f>
        <v>3</v>
      </c>
      <c r="G49" s="230">
        <f>F49+1</f>
        <v>4</v>
      </c>
      <c r="H49" s="231">
        <f>G49+1</f>
        <v>5</v>
      </c>
      <c r="I49" s="232">
        <f>H49+1</f>
        <v>6</v>
      </c>
      <c r="J49" s="233"/>
      <c r="K49" s="234">
        <v>23</v>
      </c>
      <c r="L49" s="235">
        <v>184</v>
      </c>
      <c r="M49" s="235"/>
      <c r="N49" s="236"/>
    </row>
    <row r="50" spans="2:14" x14ac:dyDescent="0.4">
      <c r="B50" s="229"/>
      <c r="C50" s="230">
        <f t="shared" si="59"/>
        <v>7</v>
      </c>
      <c r="D50" s="230">
        <f t="shared" ref="D50:I56" si="60">C50+1</f>
        <v>8</v>
      </c>
      <c r="E50" s="230">
        <f t="shared" si="60"/>
        <v>9</v>
      </c>
      <c r="F50" s="230">
        <f t="shared" si="60"/>
        <v>10</v>
      </c>
      <c r="G50" s="230">
        <f t="shared" si="60"/>
        <v>11</v>
      </c>
      <c r="H50" s="231">
        <f t="shared" si="60"/>
        <v>12</v>
      </c>
      <c r="I50" s="232">
        <f t="shared" si="60"/>
        <v>13</v>
      </c>
      <c r="J50" s="233"/>
      <c r="K50" s="234"/>
      <c r="L50" s="235"/>
      <c r="M50" s="235"/>
      <c r="N50" s="236"/>
    </row>
    <row r="51" spans="2:14" x14ac:dyDescent="0.4">
      <c r="B51" s="229"/>
      <c r="C51" s="230">
        <f t="shared" si="59"/>
        <v>14</v>
      </c>
      <c r="D51" s="230">
        <f t="shared" si="60"/>
        <v>15</v>
      </c>
      <c r="E51" s="230">
        <f t="shared" si="60"/>
        <v>16</v>
      </c>
      <c r="F51" s="230">
        <f t="shared" si="60"/>
        <v>17</v>
      </c>
      <c r="G51" s="230">
        <f t="shared" si="60"/>
        <v>18</v>
      </c>
      <c r="H51" s="231">
        <f t="shared" si="60"/>
        <v>19</v>
      </c>
      <c r="I51" s="232">
        <f t="shared" si="60"/>
        <v>20</v>
      </c>
      <c r="J51" s="233"/>
      <c r="K51" s="234"/>
      <c r="L51" s="235"/>
      <c r="M51" s="235"/>
      <c r="N51" s="236"/>
    </row>
    <row r="52" spans="2:14" x14ac:dyDescent="0.4">
      <c r="B52" s="229"/>
      <c r="C52" s="230">
        <f t="shared" si="59"/>
        <v>21</v>
      </c>
      <c r="D52" s="230">
        <f t="shared" si="60"/>
        <v>22</v>
      </c>
      <c r="E52" s="230">
        <f t="shared" si="60"/>
        <v>23</v>
      </c>
      <c r="F52" s="230">
        <f t="shared" si="60"/>
        <v>24</v>
      </c>
      <c r="G52" s="230">
        <f t="shared" si="60"/>
        <v>25</v>
      </c>
      <c r="H52" s="231">
        <f t="shared" si="60"/>
        <v>26</v>
      </c>
      <c r="I52" s="232">
        <f t="shared" si="60"/>
        <v>27</v>
      </c>
      <c r="J52" s="233"/>
      <c r="K52" s="234"/>
      <c r="L52" s="235"/>
      <c r="M52" s="235"/>
      <c r="N52" s="236"/>
    </row>
    <row r="53" spans="2:14" x14ac:dyDescent="0.4">
      <c r="B53" s="238" t="s">
        <v>118</v>
      </c>
      <c r="C53" s="230">
        <f t="shared" si="59"/>
        <v>28</v>
      </c>
      <c r="D53" s="230">
        <f t="shared" si="60"/>
        <v>29</v>
      </c>
      <c r="E53" s="230">
        <f t="shared" si="60"/>
        <v>30</v>
      </c>
      <c r="F53" s="230">
        <f t="shared" si="60"/>
        <v>31</v>
      </c>
      <c r="G53" s="230">
        <v>1</v>
      </c>
      <c r="H53" s="231">
        <f t="shared" si="60"/>
        <v>2</v>
      </c>
      <c r="I53" s="232">
        <f t="shared" si="60"/>
        <v>3</v>
      </c>
      <c r="J53" s="233"/>
      <c r="K53" s="234">
        <v>21</v>
      </c>
      <c r="L53" s="235">
        <v>168</v>
      </c>
      <c r="M53" s="235"/>
      <c r="N53" s="236"/>
    </row>
    <row r="54" spans="2:14" x14ac:dyDescent="0.4">
      <c r="B54" s="229"/>
      <c r="C54" s="230">
        <f t="shared" si="59"/>
        <v>4</v>
      </c>
      <c r="D54" s="230">
        <f t="shared" si="60"/>
        <v>5</v>
      </c>
      <c r="E54" s="230">
        <f t="shared" si="60"/>
        <v>6</v>
      </c>
      <c r="F54" s="230">
        <f t="shared" si="60"/>
        <v>7</v>
      </c>
      <c r="G54" s="230">
        <f t="shared" si="60"/>
        <v>8</v>
      </c>
      <c r="H54" s="231">
        <f t="shared" si="60"/>
        <v>9</v>
      </c>
      <c r="I54" s="232">
        <f t="shared" si="60"/>
        <v>10</v>
      </c>
      <c r="J54" s="233"/>
      <c r="K54" s="234"/>
      <c r="L54" s="235"/>
      <c r="M54" s="235"/>
      <c r="N54" s="236"/>
    </row>
    <row r="55" spans="2:14" x14ac:dyDescent="0.4">
      <c r="B55" s="229"/>
      <c r="C55" s="230">
        <f t="shared" si="59"/>
        <v>11</v>
      </c>
      <c r="D55" s="230">
        <f t="shared" si="60"/>
        <v>12</v>
      </c>
      <c r="E55" s="230">
        <f t="shared" si="60"/>
        <v>13</v>
      </c>
      <c r="F55" s="230">
        <f t="shared" si="60"/>
        <v>14</v>
      </c>
      <c r="G55" s="230">
        <f t="shared" si="60"/>
        <v>15</v>
      </c>
      <c r="H55" s="231">
        <f t="shared" si="60"/>
        <v>16</v>
      </c>
      <c r="I55" s="232">
        <f t="shared" si="60"/>
        <v>17</v>
      </c>
      <c r="J55" s="233"/>
      <c r="K55" s="234"/>
      <c r="L55" s="235"/>
      <c r="M55" s="235"/>
      <c r="N55" s="236"/>
    </row>
    <row r="56" spans="2:14" x14ac:dyDescent="0.4">
      <c r="B56" s="229"/>
      <c r="C56" s="230">
        <f t="shared" si="59"/>
        <v>18</v>
      </c>
      <c r="D56" s="230">
        <f t="shared" si="60"/>
        <v>19</v>
      </c>
      <c r="E56" s="230">
        <f t="shared" si="60"/>
        <v>20</v>
      </c>
      <c r="F56" s="230">
        <f t="shared" si="60"/>
        <v>21</v>
      </c>
      <c r="G56" s="230">
        <f t="shared" si="60"/>
        <v>22</v>
      </c>
      <c r="H56" s="231">
        <f t="shared" si="60"/>
        <v>23</v>
      </c>
      <c r="I56" s="232">
        <f t="shared" si="60"/>
        <v>24</v>
      </c>
      <c r="J56" s="233"/>
      <c r="K56" s="234"/>
      <c r="L56" s="235"/>
      <c r="M56" s="235"/>
      <c r="N56" s="236"/>
    </row>
    <row r="57" spans="2:14" x14ac:dyDescent="0.4">
      <c r="B57" s="238" t="s">
        <v>119</v>
      </c>
      <c r="C57" s="230">
        <f t="shared" si="59"/>
        <v>25</v>
      </c>
      <c r="D57" s="230">
        <f>C57+1</f>
        <v>26</v>
      </c>
      <c r="E57" s="230">
        <f>D57+1</f>
        <v>27</v>
      </c>
      <c r="F57" s="230">
        <f>E57+1</f>
        <v>28</v>
      </c>
      <c r="G57" s="230">
        <f>F57+1</f>
        <v>29</v>
      </c>
      <c r="H57" s="231">
        <f>G57+1</f>
        <v>30</v>
      </c>
      <c r="I57" s="232">
        <v>1</v>
      </c>
      <c r="J57" s="233"/>
      <c r="K57" s="234">
        <v>22</v>
      </c>
      <c r="L57" s="235">
        <v>176</v>
      </c>
      <c r="M57" s="235"/>
      <c r="N57" s="236"/>
    </row>
    <row r="58" spans="2:14" x14ac:dyDescent="0.4">
      <c r="B58" s="237"/>
      <c r="C58" s="230">
        <f t="shared" si="59"/>
        <v>2</v>
      </c>
      <c r="D58" s="230">
        <f t="shared" ref="D58:I70" si="61">C58+1</f>
        <v>3</v>
      </c>
      <c r="E58" s="230">
        <f t="shared" si="61"/>
        <v>4</v>
      </c>
      <c r="F58" s="230">
        <f t="shared" si="61"/>
        <v>5</v>
      </c>
      <c r="G58" s="230">
        <f t="shared" si="61"/>
        <v>6</v>
      </c>
      <c r="H58" s="231">
        <f t="shared" si="61"/>
        <v>7</v>
      </c>
      <c r="I58" s="232">
        <f t="shared" si="61"/>
        <v>8</v>
      </c>
      <c r="J58" s="233"/>
      <c r="K58" s="234"/>
      <c r="L58" s="235"/>
      <c r="M58" s="235"/>
      <c r="N58" s="236"/>
    </row>
    <row r="59" spans="2:14" x14ac:dyDescent="0.4">
      <c r="B59" s="229"/>
      <c r="C59" s="230">
        <f t="shared" si="59"/>
        <v>9</v>
      </c>
      <c r="D59" s="230">
        <f t="shared" si="61"/>
        <v>10</v>
      </c>
      <c r="E59" s="230">
        <f t="shared" si="61"/>
        <v>11</v>
      </c>
      <c r="F59" s="230">
        <f t="shared" si="61"/>
        <v>12</v>
      </c>
      <c r="G59" s="230">
        <f t="shared" si="61"/>
        <v>13</v>
      </c>
      <c r="H59" s="231">
        <f t="shared" si="61"/>
        <v>14</v>
      </c>
      <c r="I59" s="232">
        <f t="shared" si="61"/>
        <v>15</v>
      </c>
      <c r="J59" s="233"/>
      <c r="K59" s="234"/>
      <c r="L59" s="235"/>
      <c r="M59" s="235"/>
      <c r="N59" s="236"/>
    </row>
    <row r="60" spans="2:14" x14ac:dyDescent="0.4">
      <c r="B60" s="229"/>
      <c r="C60" s="230">
        <f t="shared" si="59"/>
        <v>16</v>
      </c>
      <c r="D60" s="230">
        <f t="shared" si="61"/>
        <v>17</v>
      </c>
      <c r="E60" s="230">
        <f t="shared" si="61"/>
        <v>18</v>
      </c>
      <c r="F60" s="230">
        <f t="shared" si="61"/>
        <v>19</v>
      </c>
      <c r="G60" s="230">
        <f t="shared" si="61"/>
        <v>20</v>
      </c>
      <c r="H60" s="231">
        <f t="shared" si="61"/>
        <v>21</v>
      </c>
      <c r="I60" s="232">
        <f t="shared" si="61"/>
        <v>22</v>
      </c>
      <c r="J60" s="233"/>
      <c r="K60" s="234"/>
      <c r="L60" s="235"/>
      <c r="M60" s="235"/>
      <c r="N60" s="236"/>
    </row>
    <row r="61" spans="2:14" x14ac:dyDescent="0.4">
      <c r="B61" s="229"/>
      <c r="C61" s="230">
        <f t="shared" si="59"/>
        <v>23</v>
      </c>
      <c r="D61" s="230">
        <f t="shared" si="61"/>
        <v>24</v>
      </c>
      <c r="E61" s="230">
        <f t="shared" si="61"/>
        <v>25</v>
      </c>
      <c r="F61" s="230">
        <f t="shared" si="61"/>
        <v>26</v>
      </c>
      <c r="G61" s="230">
        <f t="shared" si="61"/>
        <v>27</v>
      </c>
      <c r="H61" s="231">
        <f t="shared" si="61"/>
        <v>28</v>
      </c>
      <c r="I61" s="232">
        <f t="shared" si="61"/>
        <v>29</v>
      </c>
      <c r="J61" s="233"/>
      <c r="K61" s="234"/>
      <c r="L61" s="235"/>
      <c r="M61" s="235"/>
      <c r="N61" s="236"/>
    </row>
    <row r="62" spans="2:14" x14ac:dyDescent="0.4">
      <c r="B62" s="238" t="s">
        <v>120</v>
      </c>
      <c r="C62" s="230">
        <f t="shared" si="59"/>
        <v>30</v>
      </c>
      <c r="D62" s="230">
        <f t="shared" si="61"/>
        <v>31</v>
      </c>
      <c r="E62" s="230">
        <v>1</v>
      </c>
      <c r="F62" s="230">
        <f t="shared" si="61"/>
        <v>2</v>
      </c>
      <c r="G62" s="230">
        <f t="shared" si="61"/>
        <v>3</v>
      </c>
      <c r="H62" s="231">
        <f t="shared" si="61"/>
        <v>4</v>
      </c>
      <c r="I62" s="232">
        <f t="shared" si="61"/>
        <v>5</v>
      </c>
      <c r="J62" s="233"/>
      <c r="K62" s="234">
        <v>21</v>
      </c>
      <c r="L62" s="235">
        <v>167</v>
      </c>
      <c r="M62" s="240">
        <v>2</v>
      </c>
      <c r="N62" s="236"/>
    </row>
    <row r="63" spans="2:14" x14ac:dyDescent="0.4">
      <c r="B63" s="229"/>
      <c r="C63" s="230">
        <f t="shared" si="59"/>
        <v>6</v>
      </c>
      <c r="D63" s="230">
        <f t="shared" si="61"/>
        <v>7</v>
      </c>
      <c r="E63" s="230">
        <f t="shared" si="61"/>
        <v>8</v>
      </c>
      <c r="F63" s="230">
        <f t="shared" si="61"/>
        <v>9</v>
      </c>
      <c r="G63" s="230">
        <f t="shared" si="61"/>
        <v>10</v>
      </c>
      <c r="H63" s="231">
        <f t="shared" si="61"/>
        <v>11</v>
      </c>
      <c r="I63" s="232">
        <f t="shared" si="61"/>
        <v>12</v>
      </c>
      <c r="J63" s="233"/>
      <c r="K63" s="234"/>
      <c r="L63" s="235"/>
      <c r="M63" s="235"/>
      <c r="N63" s="236"/>
    </row>
    <row r="64" spans="2:14" x14ac:dyDescent="0.4">
      <c r="B64" s="229"/>
      <c r="C64" s="230">
        <f t="shared" si="59"/>
        <v>13</v>
      </c>
      <c r="D64" s="230">
        <f t="shared" si="61"/>
        <v>14</v>
      </c>
      <c r="E64" s="230">
        <f t="shared" si="61"/>
        <v>15</v>
      </c>
      <c r="F64" s="230">
        <f t="shared" si="61"/>
        <v>16</v>
      </c>
      <c r="G64" s="230">
        <f t="shared" si="61"/>
        <v>17</v>
      </c>
      <c r="H64" s="239">
        <f t="shared" si="61"/>
        <v>18</v>
      </c>
      <c r="I64" s="232">
        <f t="shared" si="61"/>
        <v>19</v>
      </c>
      <c r="J64" s="233"/>
      <c r="K64" s="234"/>
      <c r="L64" s="235"/>
      <c r="M64" s="235"/>
      <c r="N64" s="236"/>
    </row>
    <row r="65" spans="2:14" x14ac:dyDescent="0.4">
      <c r="B65" s="229"/>
      <c r="C65" s="239">
        <f t="shared" si="59"/>
        <v>20</v>
      </c>
      <c r="D65" s="230">
        <f t="shared" si="61"/>
        <v>21</v>
      </c>
      <c r="E65" s="230">
        <f t="shared" si="61"/>
        <v>22</v>
      </c>
      <c r="F65" s="230">
        <f t="shared" si="61"/>
        <v>23</v>
      </c>
      <c r="G65" s="230">
        <f t="shared" si="61"/>
        <v>24</v>
      </c>
      <c r="H65" s="231">
        <f t="shared" si="61"/>
        <v>25</v>
      </c>
      <c r="I65" s="232">
        <f t="shared" si="61"/>
        <v>26</v>
      </c>
      <c r="J65" s="233"/>
      <c r="K65" s="234"/>
      <c r="L65" s="235"/>
      <c r="M65" s="235"/>
      <c r="N65" s="236"/>
    </row>
    <row r="66" spans="2:14" x14ac:dyDescent="0.4">
      <c r="B66" s="238" t="s">
        <v>121</v>
      </c>
      <c r="C66" s="230">
        <f t="shared" si="59"/>
        <v>27</v>
      </c>
      <c r="D66" s="230">
        <f t="shared" si="61"/>
        <v>28</v>
      </c>
      <c r="E66" s="230">
        <f t="shared" si="61"/>
        <v>29</v>
      </c>
      <c r="F66" s="230">
        <f t="shared" si="61"/>
        <v>30</v>
      </c>
      <c r="G66" s="230">
        <v>1</v>
      </c>
      <c r="H66" s="231">
        <f t="shared" si="61"/>
        <v>2</v>
      </c>
      <c r="I66" s="232">
        <f t="shared" si="61"/>
        <v>3</v>
      </c>
      <c r="J66" s="233"/>
      <c r="K66" s="234">
        <v>19</v>
      </c>
      <c r="L66" s="235">
        <v>152</v>
      </c>
      <c r="M66" s="240">
        <v>4</v>
      </c>
      <c r="N66" s="236"/>
    </row>
    <row r="67" spans="2:14" x14ac:dyDescent="0.4">
      <c r="B67" s="229"/>
      <c r="C67" s="230">
        <f t="shared" si="59"/>
        <v>4</v>
      </c>
      <c r="D67" s="230">
        <f t="shared" si="61"/>
        <v>5</v>
      </c>
      <c r="E67" s="230">
        <f t="shared" si="61"/>
        <v>6</v>
      </c>
      <c r="F67" s="230">
        <f t="shared" si="61"/>
        <v>7</v>
      </c>
      <c r="G67" s="230">
        <f t="shared" si="61"/>
        <v>8</v>
      </c>
      <c r="H67" s="231">
        <f t="shared" si="61"/>
        <v>9</v>
      </c>
      <c r="I67" s="232">
        <f t="shared" si="61"/>
        <v>10</v>
      </c>
      <c r="J67" s="233"/>
      <c r="K67" s="234"/>
      <c r="L67" s="235"/>
      <c r="M67" s="235"/>
      <c r="N67" s="236"/>
    </row>
    <row r="68" spans="2:14" x14ac:dyDescent="0.4">
      <c r="B68" s="229"/>
      <c r="C68" s="230">
        <f t="shared" si="59"/>
        <v>11</v>
      </c>
      <c r="D68" s="230">
        <f t="shared" si="61"/>
        <v>12</v>
      </c>
      <c r="E68" s="230">
        <f t="shared" si="61"/>
        <v>13</v>
      </c>
      <c r="F68" s="230">
        <f t="shared" si="61"/>
        <v>14</v>
      </c>
      <c r="G68" s="230">
        <f t="shared" si="61"/>
        <v>15</v>
      </c>
      <c r="H68" s="231">
        <f t="shared" si="61"/>
        <v>16</v>
      </c>
      <c r="I68" s="232">
        <f t="shared" si="61"/>
        <v>17</v>
      </c>
      <c r="J68" s="233"/>
      <c r="K68" s="234"/>
      <c r="L68" s="235"/>
      <c r="M68" s="235"/>
      <c r="N68" s="236"/>
    </row>
    <row r="69" spans="2:14" x14ac:dyDescent="0.4">
      <c r="B69" s="229"/>
      <c r="C69" s="230">
        <f t="shared" si="59"/>
        <v>18</v>
      </c>
      <c r="D69" s="230">
        <f t="shared" si="61"/>
        <v>19</v>
      </c>
      <c r="E69" s="230">
        <f t="shared" si="61"/>
        <v>20</v>
      </c>
      <c r="F69" s="230">
        <f t="shared" si="61"/>
        <v>21</v>
      </c>
      <c r="G69" s="230">
        <f t="shared" si="61"/>
        <v>22</v>
      </c>
      <c r="H69" s="231">
        <f t="shared" si="61"/>
        <v>23</v>
      </c>
      <c r="I69" s="239">
        <f t="shared" si="61"/>
        <v>24</v>
      </c>
      <c r="J69" s="233"/>
      <c r="K69" s="234"/>
      <c r="L69" s="235"/>
      <c r="M69" s="235"/>
      <c r="N69" s="236"/>
    </row>
    <row r="70" spans="2:14" x14ac:dyDescent="0.4">
      <c r="B70" s="244"/>
      <c r="C70" s="239">
        <f>I69+1</f>
        <v>25</v>
      </c>
      <c r="D70" s="239">
        <f t="shared" si="61"/>
        <v>26</v>
      </c>
      <c r="E70" s="230">
        <f t="shared" si="61"/>
        <v>27</v>
      </c>
      <c r="F70" s="230">
        <f t="shared" si="61"/>
        <v>28</v>
      </c>
      <c r="G70" s="230">
        <f t="shared" si="61"/>
        <v>29</v>
      </c>
      <c r="H70" s="231">
        <f t="shared" si="61"/>
        <v>30</v>
      </c>
      <c r="I70" s="239">
        <f t="shared" si="61"/>
        <v>31</v>
      </c>
      <c r="J70" s="245"/>
      <c r="K70" s="246"/>
      <c r="L70" s="247"/>
      <c r="M70" s="247"/>
      <c r="N70" s="248"/>
    </row>
    <row r="71" spans="2:14" x14ac:dyDescent="0.4">
      <c r="B71" s="249" t="s">
        <v>122</v>
      </c>
      <c r="C71" s="250">
        <f t="shared" ref="C71:I71" si="62">COUNT(C18:C70)</f>
        <v>52</v>
      </c>
      <c r="D71" s="250">
        <f t="shared" si="62"/>
        <v>52</v>
      </c>
      <c r="E71" s="250">
        <f t="shared" si="62"/>
        <v>52</v>
      </c>
      <c r="F71" s="250">
        <f t="shared" si="62"/>
        <v>52</v>
      </c>
      <c r="G71" s="250">
        <f t="shared" si="62"/>
        <v>52</v>
      </c>
      <c r="H71" s="250">
        <f t="shared" si="62"/>
        <v>52</v>
      </c>
      <c r="I71" s="250">
        <f t="shared" si="62"/>
        <v>53</v>
      </c>
      <c r="J71" s="251">
        <f>SUM(C71:I71)</f>
        <v>365</v>
      </c>
      <c r="K71" s="252">
        <f>SUM(K18:K70)</f>
        <v>251</v>
      </c>
      <c r="L71" s="253">
        <f>SUM(L18:L70)</f>
        <v>2004</v>
      </c>
      <c r="M71" s="254">
        <f>SUM(M18:M70)</f>
        <v>18</v>
      </c>
      <c r="N71" s="255">
        <f>SUM(N18:N70)</f>
        <v>1</v>
      </c>
    </row>
    <row r="72" spans="2:14" x14ac:dyDescent="0.4">
      <c r="B72" s="256" t="s">
        <v>123</v>
      </c>
      <c r="C72" s="257">
        <f>C71-C73-C74-C75-C76</f>
        <v>47</v>
      </c>
      <c r="D72" s="257">
        <f t="shared" ref="D72:I72" si="63">D71-D73-D74-D75-D76</f>
        <v>51</v>
      </c>
      <c r="E72" s="257">
        <f t="shared" si="63"/>
        <v>52</v>
      </c>
      <c r="F72" s="257">
        <f t="shared" si="63"/>
        <v>51</v>
      </c>
      <c r="G72" s="257">
        <f t="shared" si="63"/>
        <v>49</v>
      </c>
      <c r="H72" s="257">
        <f t="shared" si="63"/>
        <v>1</v>
      </c>
      <c r="I72" s="257">
        <f t="shared" si="63"/>
        <v>0</v>
      </c>
      <c r="J72" s="258">
        <f>SUM(C72:I72)</f>
        <v>251</v>
      </c>
      <c r="K72" s="220">
        <v>1</v>
      </c>
      <c r="L72" s="220">
        <f>L71/12</f>
        <v>167</v>
      </c>
      <c r="M72" s="220"/>
      <c r="N72" s="220"/>
    </row>
    <row r="73" spans="2:14" x14ac:dyDescent="0.4">
      <c r="B73" s="259" t="s">
        <v>124</v>
      </c>
      <c r="C73" s="260"/>
      <c r="D73" s="260"/>
      <c r="E73" s="260"/>
      <c r="F73" s="260"/>
      <c r="G73" s="260"/>
      <c r="H73" s="261">
        <f>H71-H75</f>
        <v>50</v>
      </c>
      <c r="I73" s="262"/>
      <c r="J73" s="263">
        <f>SUM(C73:I73)</f>
        <v>50</v>
      </c>
      <c r="K73" s="220">
        <v>1</v>
      </c>
      <c r="L73" s="220"/>
      <c r="M73" s="220"/>
      <c r="N73" s="220"/>
    </row>
    <row r="74" spans="2:14" x14ac:dyDescent="0.4">
      <c r="B74" s="264" t="s">
        <v>125</v>
      </c>
      <c r="C74" s="230"/>
      <c r="D74" s="230"/>
      <c r="E74" s="230"/>
      <c r="F74" s="230"/>
      <c r="G74" s="230"/>
      <c r="H74" s="230"/>
      <c r="I74" s="265">
        <f>I71-I75</f>
        <v>46</v>
      </c>
      <c r="J74" s="266">
        <f>SUM(C74:I74)</f>
        <v>46</v>
      </c>
      <c r="K74" s="220">
        <v>1</v>
      </c>
      <c r="L74" s="220"/>
      <c r="M74" s="220"/>
      <c r="N74" s="220"/>
    </row>
    <row r="75" spans="2:14" x14ac:dyDescent="0.4">
      <c r="B75" s="267" t="s">
        <v>108</v>
      </c>
      <c r="C75" s="268">
        <v>5</v>
      </c>
      <c r="D75" s="268">
        <v>1</v>
      </c>
      <c r="E75" s="268">
        <v>0</v>
      </c>
      <c r="F75" s="268">
        <f>COUNT(F69)</f>
        <v>1</v>
      </c>
      <c r="G75" s="268">
        <v>2</v>
      </c>
      <c r="H75" s="268">
        <v>2</v>
      </c>
      <c r="I75" s="269">
        <v>7</v>
      </c>
      <c r="J75" s="270">
        <f>SUM(C75:I75)</f>
        <v>18</v>
      </c>
      <c r="K75" s="220">
        <v>2</v>
      </c>
      <c r="L75" s="220"/>
      <c r="M75" s="220"/>
      <c r="N75" s="220"/>
    </row>
    <row r="76" spans="2:14" x14ac:dyDescent="0.4">
      <c r="B76" s="271" t="s">
        <v>126</v>
      </c>
      <c r="C76" s="272"/>
      <c r="D76" s="272"/>
      <c r="E76" s="272"/>
      <c r="F76" s="273"/>
      <c r="G76" s="274">
        <v>1</v>
      </c>
      <c r="H76" s="274">
        <v>-1</v>
      </c>
      <c r="I76" s="275"/>
      <c r="J76" s="276">
        <f>SUM(D76:I76)</f>
        <v>0</v>
      </c>
      <c r="K76" s="220"/>
      <c r="L76" s="220"/>
      <c r="M76" s="220"/>
      <c r="N76" s="220"/>
    </row>
  </sheetData>
  <mergeCells count="4">
    <mergeCell ref="B16:N16"/>
    <mergeCell ref="A10:A12"/>
    <mergeCell ref="A13:A15"/>
    <mergeCell ref="A7:A9"/>
  </mergeCells>
  <conditionalFormatting sqref="E6 E7:F15">
    <cfRule type="cellIs" dxfId="1" priority="17" operator="equal">
      <formula>"Atbalsta postenis no BKUS"</formula>
    </cfRule>
  </conditionalFormatting>
  <conditionalFormatting sqref="E7:F15">
    <cfRule type="cellIs" dxfId="0" priority="16" operator="equal">
      <formula>"Atbalsta postenis BKUS"</formula>
    </cfRule>
  </conditionalFormatting>
  <pageMargins left="0.7" right="0.7" top="0.75" bottom="0.75" header="0.3" footer="0.3"/>
  <pageSetup paperSize="9" scale="25" orientation="portrait" verticalDpi="0" r:id="rId1"/>
  <colBreaks count="1" manualBreakCount="1">
    <brk id="27" min="2" max="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Kopā</vt:lpstr>
      <vt:lpstr>ĶIRURĢIJA</vt:lpstr>
      <vt:lpstr>GINEKOLOĢIJA</vt:lpstr>
      <vt:lpstr>GRŪTNIEČU PAT</vt:lpstr>
      <vt:lpstr>DZEMDĪBU PALĪDZĪBA</vt:lpstr>
      <vt:lpstr>Pediatrija_specializēta</vt:lpstr>
      <vt:lpstr>PEDIATRIJA </vt:lpstr>
      <vt:lpstr>TERAPIJA</vt:lpstr>
      <vt:lpstr>TRAUMATOLOĢIJA</vt:lpstr>
      <vt:lpstr>Darba algas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Anete</dc:creator>
  <cp:keywords/>
  <dc:description/>
  <cp:lastModifiedBy>Sanda Osemļjaka</cp:lastModifiedBy>
  <cp:revision/>
  <dcterms:created xsi:type="dcterms:W3CDTF">2023-06-21T08:22:24Z</dcterms:created>
  <dcterms:modified xsi:type="dcterms:W3CDTF">2023-08-09T14:48:43Z</dcterms:modified>
  <cp:category/>
  <cp:contentStatus/>
</cp:coreProperties>
</file>