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AMFS01\Users$\zane.kirina\Desktop\VS komisijas ziņojums\"/>
    </mc:Choice>
  </mc:AlternateContent>
  <xr:revisionPtr revIDLastSave="0" documentId="8_{BA014AE6-5903-47A8-9D13-88E7A16D85DC}" xr6:coauthVersionLast="47" xr6:coauthVersionMax="47" xr10:uidLastSave="{00000000-0000-0000-0000-000000000000}"/>
  <bookViews>
    <workbookView xWindow="41640" yWindow="3390" windowWidth="28800" windowHeight="15375" tabRatio="850" firstSheet="2" activeTab="2" xr2:uid="{00000000-000D-0000-FFFF-FFFF00000000}"/>
  </bookViews>
  <sheets>
    <sheet name="Darbinieku skaits" sheetId="2" r:id="rId1"/>
    <sheet name="Peļņa" sheetId="14" r:id="rId2"/>
    <sheet name="Kurekss SIA" sheetId="3" r:id="rId3"/>
    <sheet name="Piebalgas SIA " sheetId="5" r:id="rId4"/>
    <sheet name="Pata Jēkabpils SIA" sheetId="6" r:id="rId5"/>
    <sheet name="Pata Saldus SIA" sheetId="9" r:id="rId6"/>
    <sheet name="Gaujas Koks SIA" sheetId="7" r:id="rId7"/>
    <sheet name="Stora Enso Latvija AS" sheetId="8" r:id="rId8"/>
    <sheet name="Vika Wood SIA" sheetId="10" r:id="rId9"/>
    <sheet name="BSW Latvia SIA" sheetId="13" r:id="rId10"/>
    <sheet name="AKZ SIA" sheetId="15" r:id="rId11"/>
    <sheet name="Rettenmeier Baltic Timber SIA" sheetId="17" r:id="rId12"/>
    <sheet name="Smiltene Impex SIA" sheetId="16" r:id="rId13"/>
    <sheet name="SIA Krauzers" sheetId="19" r:id="rId14"/>
    <sheet name="SIA Silpec" sheetId="20" r:id="rId15"/>
    <sheet name="SIA Vudlande" sheetId="21" r:id="rId16"/>
    <sheet name="Pata SIA (konsolidēti)" sheetId="12" r:id="rId17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21" l="1"/>
  <c r="D6" i="21"/>
  <c r="F8" i="13"/>
  <c r="D8" i="10"/>
  <c r="D8" i="12"/>
  <c r="C8" i="12"/>
  <c r="D8" i="21"/>
  <c r="C8" i="21"/>
  <c r="D8" i="20"/>
  <c r="C8" i="20"/>
  <c r="D8" i="19"/>
  <c r="D8" i="16"/>
  <c r="C8" i="16"/>
  <c r="D8" i="17"/>
  <c r="C8" i="17"/>
  <c r="D8" i="15"/>
  <c r="C8" i="15"/>
  <c r="D8" i="13"/>
  <c r="C8" i="13"/>
  <c r="C8" i="10"/>
  <c r="D8" i="8"/>
  <c r="C8" i="8"/>
  <c r="D8" i="7"/>
  <c r="C8" i="7"/>
  <c r="D8" i="9"/>
  <c r="C8" i="9"/>
  <c r="D8" i="6"/>
  <c r="C8" i="6"/>
  <c r="C8" i="19"/>
  <c r="D8" i="5"/>
  <c r="C8" i="5"/>
  <c r="D8" i="3"/>
  <c r="C8" i="3"/>
  <c r="F26" i="12"/>
  <c r="F27" i="12"/>
  <c r="F28" i="12"/>
  <c r="F29" i="12"/>
  <c r="E26" i="12"/>
  <c r="E27" i="12"/>
  <c r="E28" i="12"/>
  <c r="E29" i="12"/>
  <c r="E30" i="12"/>
  <c r="F25" i="16"/>
  <c r="F26" i="16"/>
  <c r="F27" i="16"/>
  <c r="F28" i="16"/>
  <c r="F29" i="16"/>
  <c r="E25" i="16"/>
  <c r="E26" i="16"/>
  <c r="E27" i="16"/>
  <c r="E28" i="16"/>
  <c r="E27" i="17"/>
  <c r="F27" i="17"/>
  <c r="E26" i="17"/>
  <c r="F26" i="17"/>
  <c r="C7" i="15"/>
  <c r="D5" i="15"/>
  <c r="D6" i="15"/>
  <c r="E27" i="15"/>
  <c r="F27" i="15"/>
  <c r="E26" i="15"/>
  <c r="F26" i="15" s="1"/>
  <c r="F25" i="13"/>
  <c r="F26" i="13"/>
  <c r="F27" i="13"/>
  <c r="F28" i="13"/>
  <c r="E27" i="13"/>
  <c r="E26" i="13"/>
  <c r="C10" i="13"/>
  <c r="C9" i="13"/>
  <c r="C7" i="13"/>
  <c r="C6" i="13"/>
  <c r="C5" i="13"/>
  <c r="C4" i="13"/>
  <c r="C10" i="3"/>
  <c r="C9" i="3"/>
  <c r="C7" i="3"/>
  <c r="C10" i="10"/>
  <c r="C9" i="10"/>
  <c r="C6" i="10"/>
  <c r="C5" i="10"/>
  <c r="D7" i="10"/>
  <c r="C4" i="10"/>
  <c r="D4" i="10"/>
  <c r="F24" i="10"/>
  <c r="F25" i="10"/>
  <c r="F27" i="10"/>
  <c r="F28" i="10"/>
  <c r="F29" i="10"/>
  <c r="F30" i="10"/>
  <c r="F31" i="10"/>
  <c r="E25" i="10"/>
  <c r="E26" i="10"/>
  <c r="F26" i="10" s="1"/>
  <c r="E27" i="10"/>
  <c r="E28" i="10"/>
  <c r="E29" i="10"/>
  <c r="E30" i="10"/>
  <c r="E31" i="10"/>
  <c r="F26" i="8"/>
  <c r="F27" i="8"/>
  <c r="F29" i="8"/>
  <c r="E26" i="8"/>
  <c r="E27" i="8"/>
  <c r="E28" i="8"/>
  <c r="F28" i="8" s="1"/>
  <c r="E29" i="8"/>
  <c r="E30" i="8"/>
  <c r="E31" i="8"/>
  <c r="E32" i="8"/>
  <c r="E27" i="7"/>
  <c r="F27" i="7" s="1"/>
  <c r="E26" i="7"/>
  <c r="F26" i="7" s="1"/>
  <c r="F27" i="9"/>
  <c r="F28" i="9"/>
  <c r="E27" i="9"/>
  <c r="E28" i="9"/>
  <c r="E26" i="9"/>
  <c r="F26" i="9" s="1"/>
  <c r="F27" i="6"/>
  <c r="E27" i="6"/>
  <c r="E28" i="6"/>
  <c r="E26" i="6"/>
  <c r="F26" i="6"/>
  <c r="F27" i="5"/>
  <c r="E26" i="5"/>
  <c r="F26" i="5" s="1"/>
  <c r="E27" i="5"/>
  <c r="F28" i="3"/>
  <c r="E26" i="3"/>
  <c r="F26" i="3" s="1"/>
  <c r="E27" i="3"/>
  <c r="F27" i="3" s="1"/>
  <c r="E28" i="3"/>
  <c r="H7" i="21"/>
  <c r="D17" i="14"/>
  <c r="C17" i="14"/>
  <c r="D16" i="14"/>
  <c r="C16" i="14"/>
  <c r="D15" i="14"/>
  <c r="C15" i="14"/>
  <c r="C14" i="14"/>
  <c r="E26" i="21"/>
  <c r="F26" i="21" s="1"/>
  <c r="E27" i="21"/>
  <c r="F27" i="21" s="1"/>
  <c r="E28" i="21"/>
  <c r="F28" i="21" s="1"/>
  <c r="E29" i="21"/>
  <c r="F29" i="21" s="1"/>
  <c r="E30" i="21"/>
  <c r="F30" i="21" s="1"/>
  <c r="F26" i="20"/>
  <c r="F27" i="20"/>
  <c r="F28" i="20"/>
  <c r="F29" i="20"/>
  <c r="F30" i="20"/>
  <c r="E25" i="20"/>
  <c r="F25" i="20" s="1"/>
  <c r="E26" i="20"/>
  <c r="E27" i="20"/>
  <c r="E28" i="20"/>
  <c r="E26" i="19"/>
  <c r="F26" i="19" s="1"/>
  <c r="E27" i="19"/>
  <c r="F27" i="19" s="1"/>
  <c r="E28" i="19"/>
  <c r="F28" i="19" s="1"/>
  <c r="E29" i="19"/>
  <c r="F29" i="19" s="1"/>
  <c r="D10" i="19"/>
  <c r="H10" i="19" s="1"/>
  <c r="E25" i="21"/>
  <c r="F25" i="21" s="1"/>
  <c r="D9" i="19"/>
  <c r="E25" i="19"/>
  <c r="F25" i="19" s="1"/>
  <c r="D42" i="2"/>
  <c r="E42" i="2"/>
  <c r="F42" i="2"/>
  <c r="G42" i="2"/>
  <c r="C42" i="2"/>
  <c r="D36" i="2"/>
  <c r="E36" i="2"/>
  <c r="F36" i="2"/>
  <c r="G36" i="2"/>
  <c r="D35" i="2"/>
  <c r="E35" i="2"/>
  <c r="F35" i="2"/>
  <c r="G35" i="2"/>
  <c r="D34" i="2"/>
  <c r="E34" i="2"/>
  <c r="F34" i="2"/>
  <c r="G34" i="2"/>
  <c r="C34" i="2"/>
  <c r="C35" i="2"/>
  <c r="C36" i="2"/>
  <c r="D19" i="2"/>
  <c r="E19" i="2"/>
  <c r="F19" i="2"/>
  <c r="G19" i="2"/>
  <c r="H19" i="2"/>
  <c r="C19" i="2"/>
  <c r="D18" i="2"/>
  <c r="C37" i="2" s="1"/>
  <c r="C43" i="2" s="1"/>
  <c r="E18" i="2"/>
  <c r="F18" i="2"/>
  <c r="G18" i="2"/>
  <c r="H18" i="2"/>
  <c r="C18" i="2"/>
  <c r="E33" i="21"/>
  <c r="F33" i="21" s="1"/>
  <c r="E32" i="21"/>
  <c r="F32" i="21" s="1"/>
  <c r="E31" i="21"/>
  <c r="F31" i="21" s="1"/>
  <c r="E24" i="21"/>
  <c r="F24" i="21" s="1"/>
  <c r="E23" i="21"/>
  <c r="F23" i="21" s="1"/>
  <c r="E22" i="21"/>
  <c r="F22" i="21" s="1"/>
  <c r="E21" i="21"/>
  <c r="F21" i="21" s="1"/>
  <c r="E20" i="21"/>
  <c r="F20" i="21" s="1"/>
  <c r="E19" i="21"/>
  <c r="F19" i="21" s="1"/>
  <c r="E18" i="21"/>
  <c r="F18" i="21" s="1"/>
  <c r="E17" i="21"/>
  <c r="F17" i="21" s="1"/>
  <c r="E16" i="21"/>
  <c r="F16" i="21" s="1"/>
  <c r="E15" i="21"/>
  <c r="F15" i="21" s="1"/>
  <c r="E14" i="21"/>
  <c r="F14" i="21" s="1"/>
  <c r="E13" i="21"/>
  <c r="F13" i="21" s="1"/>
  <c r="E12" i="21"/>
  <c r="F12" i="21" s="1"/>
  <c r="E11" i="21"/>
  <c r="F11" i="21" s="1"/>
  <c r="D10" i="21"/>
  <c r="C10" i="21"/>
  <c r="D9" i="21"/>
  <c r="C9" i="21"/>
  <c r="C7" i="21"/>
  <c r="H6" i="21"/>
  <c r="C6" i="21"/>
  <c r="D4" i="21"/>
  <c r="D5" i="21" s="1"/>
  <c r="C4" i="21"/>
  <c r="C5" i="21" s="1"/>
  <c r="E33" i="20"/>
  <c r="F33" i="20" s="1"/>
  <c r="E32" i="20"/>
  <c r="F32" i="20" s="1"/>
  <c r="E31" i="20"/>
  <c r="F31" i="20" s="1"/>
  <c r="E30" i="20"/>
  <c r="E29" i="20"/>
  <c r="E24" i="20"/>
  <c r="F24" i="20" s="1"/>
  <c r="E23" i="20"/>
  <c r="F23" i="20" s="1"/>
  <c r="E22" i="20"/>
  <c r="F22" i="20" s="1"/>
  <c r="E21" i="20"/>
  <c r="F21" i="20" s="1"/>
  <c r="E20" i="20"/>
  <c r="F20" i="20" s="1"/>
  <c r="E19" i="20"/>
  <c r="F19" i="20" s="1"/>
  <c r="E18" i="20"/>
  <c r="F18" i="20" s="1"/>
  <c r="E17" i="20"/>
  <c r="F17" i="20" s="1"/>
  <c r="E16" i="20"/>
  <c r="F16" i="20" s="1"/>
  <c r="E15" i="20"/>
  <c r="F15" i="20" s="1"/>
  <c r="E14" i="20"/>
  <c r="F14" i="20" s="1"/>
  <c r="E13" i="20"/>
  <c r="F13" i="20" s="1"/>
  <c r="E12" i="20"/>
  <c r="F12" i="20" s="1"/>
  <c r="E11" i="20"/>
  <c r="F11" i="20" s="1"/>
  <c r="D10" i="20"/>
  <c r="H10" i="20" s="1"/>
  <c r="C10" i="20"/>
  <c r="D9" i="20"/>
  <c r="C9" i="20"/>
  <c r="D7" i="20"/>
  <c r="H7" i="20" s="1"/>
  <c r="C7" i="20"/>
  <c r="D6" i="20"/>
  <c r="C6" i="20"/>
  <c r="D4" i="20"/>
  <c r="D5" i="20" s="1"/>
  <c r="C4" i="20"/>
  <c r="C5" i="20" s="1"/>
  <c r="E33" i="19"/>
  <c r="F33" i="19" s="1"/>
  <c r="E32" i="19"/>
  <c r="F32" i="19" s="1"/>
  <c r="E31" i="19"/>
  <c r="F31" i="19" s="1"/>
  <c r="E30" i="19"/>
  <c r="F30" i="19" s="1"/>
  <c r="E24" i="19"/>
  <c r="F24" i="19" s="1"/>
  <c r="E23" i="19"/>
  <c r="F23" i="19" s="1"/>
  <c r="E22" i="19"/>
  <c r="F22" i="19" s="1"/>
  <c r="E21" i="19"/>
  <c r="F21" i="19" s="1"/>
  <c r="E20" i="19"/>
  <c r="F20" i="19" s="1"/>
  <c r="E19" i="19"/>
  <c r="F19" i="19" s="1"/>
  <c r="E18" i="19"/>
  <c r="F18" i="19" s="1"/>
  <c r="E17" i="19"/>
  <c r="F17" i="19" s="1"/>
  <c r="E16" i="19"/>
  <c r="F16" i="19" s="1"/>
  <c r="E15" i="19"/>
  <c r="F15" i="19" s="1"/>
  <c r="E14" i="19"/>
  <c r="F14" i="19" s="1"/>
  <c r="E13" i="19"/>
  <c r="F13" i="19" s="1"/>
  <c r="E12" i="19"/>
  <c r="F12" i="19" s="1"/>
  <c r="E11" i="19"/>
  <c r="F11" i="19" s="1"/>
  <c r="C10" i="19"/>
  <c r="C9" i="19"/>
  <c r="D7" i="19"/>
  <c r="H7" i="19" s="1"/>
  <c r="C7" i="19"/>
  <c r="D6" i="19"/>
  <c r="H6" i="19" s="1"/>
  <c r="C6" i="19"/>
  <c r="D4" i="19"/>
  <c r="D5" i="19" s="1"/>
  <c r="C4" i="19"/>
  <c r="C5" i="19" s="1"/>
  <c r="D10" i="15"/>
  <c r="H10" i="15" s="1"/>
  <c r="D10" i="16"/>
  <c r="H10" i="16" s="1"/>
  <c r="D7" i="16"/>
  <c r="D6" i="16"/>
  <c r="D9" i="3"/>
  <c r="C10" i="17"/>
  <c r="D6" i="17"/>
  <c r="D14" i="14"/>
  <c r="D13" i="14"/>
  <c r="C13" i="14"/>
  <c r="D12" i="14"/>
  <c r="C12" i="14"/>
  <c r="D9" i="12"/>
  <c r="C9" i="12"/>
  <c r="D9" i="17"/>
  <c r="C9" i="17"/>
  <c r="D9" i="16"/>
  <c r="C9" i="16"/>
  <c r="D9" i="15"/>
  <c r="C9" i="15"/>
  <c r="D9" i="13"/>
  <c r="D9" i="10"/>
  <c r="D9" i="8"/>
  <c r="C9" i="8"/>
  <c r="D9" i="7"/>
  <c r="C9" i="7"/>
  <c r="D9" i="9"/>
  <c r="C9" i="9"/>
  <c r="D9" i="6"/>
  <c r="C9" i="6"/>
  <c r="D9" i="5"/>
  <c r="C9" i="5"/>
  <c r="D6" i="3"/>
  <c r="H8" i="21" l="1"/>
  <c r="E8" i="19"/>
  <c r="F8" i="19" s="1"/>
  <c r="E9" i="19"/>
  <c r="F9" i="19" s="1"/>
  <c r="E6" i="21"/>
  <c r="F6" i="21" s="1"/>
  <c r="E5" i="21"/>
  <c r="F5" i="21" s="1"/>
  <c r="E9" i="21"/>
  <c r="F9" i="21" s="1"/>
  <c r="E4" i="21"/>
  <c r="F4" i="21" s="1"/>
  <c r="E6" i="20"/>
  <c r="F6" i="20" s="1"/>
  <c r="E7" i="21"/>
  <c r="F7" i="21" s="1"/>
  <c r="H4" i="21"/>
  <c r="H9" i="21"/>
  <c r="E10" i="21"/>
  <c r="F10" i="21" s="1"/>
  <c r="E5" i="20"/>
  <c r="F5" i="20" s="1"/>
  <c r="E4" i="20"/>
  <c r="F4" i="20" s="1"/>
  <c r="H4" i="20"/>
  <c r="H8" i="20"/>
  <c r="H6" i="20"/>
  <c r="E8" i="20"/>
  <c r="F8" i="20" s="1"/>
  <c r="E9" i="20"/>
  <c r="F9" i="20" s="1"/>
  <c r="E7" i="20"/>
  <c r="F7" i="20" s="1"/>
  <c r="H9" i="20"/>
  <c r="C41" i="2"/>
  <c r="H5" i="21"/>
  <c r="H10" i="21"/>
  <c r="E10" i="20"/>
  <c r="F10" i="20" s="1"/>
  <c r="H5" i="20"/>
  <c r="E10" i="19"/>
  <c r="F10" i="19" s="1"/>
  <c r="E4" i="19"/>
  <c r="F4" i="19" s="1"/>
  <c r="H9" i="19"/>
  <c r="H4" i="19"/>
  <c r="E6" i="19"/>
  <c r="F6" i="19" s="1"/>
  <c r="H8" i="19"/>
  <c r="H5" i="19"/>
  <c r="E5" i="19"/>
  <c r="F5" i="19" s="1"/>
  <c r="E7" i="19"/>
  <c r="F7" i="19" s="1"/>
  <c r="E33" i="17"/>
  <c r="F33" i="17" s="1"/>
  <c r="E32" i="17"/>
  <c r="F32" i="17" s="1"/>
  <c r="E31" i="17"/>
  <c r="F31" i="17" s="1"/>
  <c r="E30" i="17"/>
  <c r="F30" i="17" s="1"/>
  <c r="E29" i="17"/>
  <c r="F29" i="17" s="1"/>
  <c r="E28" i="17"/>
  <c r="F28" i="17" s="1"/>
  <c r="E25" i="17"/>
  <c r="F25" i="17" s="1"/>
  <c r="E24" i="17"/>
  <c r="F24" i="17" s="1"/>
  <c r="E23" i="17"/>
  <c r="F23" i="17" s="1"/>
  <c r="E22" i="17"/>
  <c r="F22" i="17" s="1"/>
  <c r="E21" i="17"/>
  <c r="F21" i="17" s="1"/>
  <c r="E20" i="17"/>
  <c r="F20" i="17" s="1"/>
  <c r="E19" i="17"/>
  <c r="F19" i="17" s="1"/>
  <c r="E18" i="17"/>
  <c r="F18" i="17" s="1"/>
  <c r="E17" i="17"/>
  <c r="F17" i="17" s="1"/>
  <c r="E16" i="17"/>
  <c r="F16" i="17" s="1"/>
  <c r="E15" i="17"/>
  <c r="F15" i="17" s="1"/>
  <c r="E14" i="17"/>
  <c r="F14" i="17" s="1"/>
  <c r="E13" i="17"/>
  <c r="F13" i="17" s="1"/>
  <c r="E12" i="17"/>
  <c r="F12" i="17" s="1"/>
  <c r="E11" i="17"/>
  <c r="F11" i="17" s="1"/>
  <c r="D10" i="17"/>
  <c r="H9" i="17"/>
  <c r="D7" i="17"/>
  <c r="C7" i="17"/>
  <c r="H6" i="17"/>
  <c r="C6" i="17"/>
  <c r="D4" i="17"/>
  <c r="C4" i="17"/>
  <c r="C5" i="17" s="1"/>
  <c r="E33" i="16"/>
  <c r="F33" i="16" s="1"/>
  <c r="E32" i="16"/>
  <c r="F32" i="16" s="1"/>
  <c r="E31" i="16"/>
  <c r="F31" i="16" s="1"/>
  <c r="E30" i="16"/>
  <c r="F30" i="16" s="1"/>
  <c r="E29" i="16"/>
  <c r="E24" i="16"/>
  <c r="F24" i="16" s="1"/>
  <c r="E23" i="16"/>
  <c r="F23" i="16" s="1"/>
  <c r="E22" i="16"/>
  <c r="F22" i="16" s="1"/>
  <c r="E21" i="16"/>
  <c r="F21" i="16" s="1"/>
  <c r="E20" i="16"/>
  <c r="F20" i="16" s="1"/>
  <c r="E19" i="16"/>
  <c r="F19" i="16" s="1"/>
  <c r="E18" i="16"/>
  <c r="F18" i="16" s="1"/>
  <c r="E17" i="16"/>
  <c r="F17" i="16" s="1"/>
  <c r="E16" i="16"/>
  <c r="F16" i="16" s="1"/>
  <c r="E15" i="16"/>
  <c r="F15" i="16" s="1"/>
  <c r="E14" i="16"/>
  <c r="F14" i="16" s="1"/>
  <c r="E13" i="16"/>
  <c r="F13" i="16" s="1"/>
  <c r="E12" i="16"/>
  <c r="F12" i="16" s="1"/>
  <c r="E11" i="16"/>
  <c r="F11" i="16" s="1"/>
  <c r="C10" i="16"/>
  <c r="H7" i="16"/>
  <c r="C7" i="16"/>
  <c r="H6" i="16"/>
  <c r="C6" i="16"/>
  <c r="D4" i="16"/>
  <c r="C4" i="16"/>
  <c r="E33" i="15"/>
  <c r="F33" i="15" s="1"/>
  <c r="E32" i="15"/>
  <c r="F32" i="15" s="1"/>
  <c r="E31" i="15"/>
  <c r="F31" i="15" s="1"/>
  <c r="E30" i="15"/>
  <c r="F30" i="15" s="1"/>
  <c r="E29" i="15"/>
  <c r="F29" i="15" s="1"/>
  <c r="E28" i="15"/>
  <c r="F28" i="15" s="1"/>
  <c r="E25" i="15"/>
  <c r="F25" i="15" s="1"/>
  <c r="E24" i="15"/>
  <c r="F24" i="15" s="1"/>
  <c r="E23" i="15"/>
  <c r="F23" i="15" s="1"/>
  <c r="E22" i="15"/>
  <c r="F22" i="15" s="1"/>
  <c r="E21" i="15"/>
  <c r="F21" i="15" s="1"/>
  <c r="E20" i="15"/>
  <c r="F20" i="15" s="1"/>
  <c r="E19" i="15"/>
  <c r="F19" i="15" s="1"/>
  <c r="E18" i="15"/>
  <c r="F18" i="15" s="1"/>
  <c r="E17" i="15"/>
  <c r="F17" i="15" s="1"/>
  <c r="E16" i="15"/>
  <c r="F16" i="15" s="1"/>
  <c r="E15" i="15"/>
  <c r="F15" i="15" s="1"/>
  <c r="E14" i="15"/>
  <c r="F14" i="15" s="1"/>
  <c r="E13" i="15"/>
  <c r="F13" i="15" s="1"/>
  <c r="E12" i="15"/>
  <c r="F12" i="15" s="1"/>
  <c r="E11" i="15"/>
  <c r="F11" i="15" s="1"/>
  <c r="C10" i="15"/>
  <c r="D7" i="15"/>
  <c r="H6" i="15"/>
  <c r="C6" i="15"/>
  <c r="D4" i="15"/>
  <c r="H4" i="15" s="1"/>
  <c r="C4" i="15"/>
  <c r="D11" i="14"/>
  <c r="C11" i="14"/>
  <c r="D10" i="14"/>
  <c r="C10" i="14"/>
  <c r="D9" i="14"/>
  <c r="C9" i="14"/>
  <c r="D8" i="14"/>
  <c r="C8" i="14"/>
  <c r="D7" i="14"/>
  <c r="C7" i="14"/>
  <c r="D6" i="14"/>
  <c r="C6" i="14"/>
  <c r="D5" i="14"/>
  <c r="C5" i="14"/>
  <c r="D4" i="14"/>
  <c r="C4" i="14"/>
  <c r="D33" i="2"/>
  <c r="E33" i="2"/>
  <c r="F33" i="2"/>
  <c r="G33" i="2"/>
  <c r="D32" i="2"/>
  <c r="E32" i="2"/>
  <c r="F32" i="2"/>
  <c r="G32" i="2"/>
  <c r="D31" i="2"/>
  <c r="E31" i="2"/>
  <c r="F31" i="2"/>
  <c r="G31" i="2"/>
  <c r="C31" i="2"/>
  <c r="C32" i="2"/>
  <c r="C33" i="2"/>
  <c r="D41" i="2"/>
  <c r="E41" i="2"/>
  <c r="F41" i="2"/>
  <c r="G41" i="2"/>
  <c r="D30" i="2"/>
  <c r="E30" i="2"/>
  <c r="F30" i="2"/>
  <c r="G30" i="2"/>
  <c r="C30" i="2"/>
  <c r="E33" i="13"/>
  <c r="F33" i="13" s="1"/>
  <c r="E32" i="13"/>
  <c r="F32" i="13" s="1"/>
  <c r="E31" i="13"/>
  <c r="F31" i="13" s="1"/>
  <c r="E30" i="13"/>
  <c r="F30" i="13" s="1"/>
  <c r="E29" i="13"/>
  <c r="F29" i="13" s="1"/>
  <c r="E28" i="13"/>
  <c r="E25" i="13"/>
  <c r="E24" i="13"/>
  <c r="F24" i="13" s="1"/>
  <c r="E23" i="13"/>
  <c r="F23" i="13" s="1"/>
  <c r="E22" i="13"/>
  <c r="F22" i="13" s="1"/>
  <c r="E21" i="13"/>
  <c r="F21" i="13" s="1"/>
  <c r="E20" i="13"/>
  <c r="F20" i="13" s="1"/>
  <c r="E19" i="13"/>
  <c r="F19" i="13" s="1"/>
  <c r="E18" i="13"/>
  <c r="F18" i="13" s="1"/>
  <c r="E17" i="13"/>
  <c r="F17" i="13" s="1"/>
  <c r="E16" i="13"/>
  <c r="F16" i="13" s="1"/>
  <c r="E15" i="13"/>
  <c r="F15" i="13" s="1"/>
  <c r="E14" i="13"/>
  <c r="F14" i="13" s="1"/>
  <c r="E13" i="13"/>
  <c r="F13" i="13" s="1"/>
  <c r="E12" i="13"/>
  <c r="F12" i="13" s="1"/>
  <c r="E11" i="13"/>
  <c r="F11" i="13" s="1"/>
  <c r="D10" i="13"/>
  <c r="H10" i="13" s="1"/>
  <c r="H9" i="13"/>
  <c r="D7" i="13"/>
  <c r="D6" i="13"/>
  <c r="H6" i="13" s="1"/>
  <c r="D4" i="13"/>
  <c r="H4" i="13" s="1"/>
  <c r="E33" i="12"/>
  <c r="F33" i="12" s="1"/>
  <c r="E32" i="12"/>
  <c r="F32" i="12" s="1"/>
  <c r="E31" i="12"/>
  <c r="F31" i="12" s="1"/>
  <c r="F30" i="12"/>
  <c r="E25" i="12"/>
  <c r="F25" i="12" s="1"/>
  <c r="E24" i="12"/>
  <c r="F24" i="12" s="1"/>
  <c r="E23" i="12"/>
  <c r="F23" i="12" s="1"/>
  <c r="E22" i="12"/>
  <c r="F22" i="12" s="1"/>
  <c r="E21" i="12"/>
  <c r="F21" i="12" s="1"/>
  <c r="E20" i="12"/>
  <c r="F20" i="12" s="1"/>
  <c r="E19" i="12"/>
  <c r="F19" i="12" s="1"/>
  <c r="E18" i="12"/>
  <c r="F18" i="12" s="1"/>
  <c r="E17" i="12"/>
  <c r="F17" i="12" s="1"/>
  <c r="E16" i="12"/>
  <c r="F16" i="12" s="1"/>
  <c r="E15" i="12"/>
  <c r="F15" i="12" s="1"/>
  <c r="E14" i="12"/>
  <c r="F14" i="12" s="1"/>
  <c r="E13" i="12"/>
  <c r="F13" i="12" s="1"/>
  <c r="E12" i="12"/>
  <c r="F12" i="12" s="1"/>
  <c r="E11" i="12"/>
  <c r="F11" i="12" s="1"/>
  <c r="D10" i="12"/>
  <c r="H10" i="12" s="1"/>
  <c r="C10" i="12"/>
  <c r="H9" i="12"/>
  <c r="D7" i="12"/>
  <c r="C7" i="12"/>
  <c r="D6" i="12"/>
  <c r="H6" i="12" s="1"/>
  <c r="C6" i="12"/>
  <c r="D4" i="12"/>
  <c r="H4" i="12" s="1"/>
  <c r="C4" i="12"/>
  <c r="C5" i="12" s="1"/>
  <c r="D28" i="2"/>
  <c r="E28" i="2"/>
  <c r="F28" i="2"/>
  <c r="G28" i="2"/>
  <c r="C28" i="2"/>
  <c r="C29" i="2"/>
  <c r="E34" i="10"/>
  <c r="F34" i="10" s="1"/>
  <c r="E33" i="10"/>
  <c r="F33" i="10" s="1"/>
  <c r="E32" i="10"/>
  <c r="F32" i="10" s="1"/>
  <c r="E24" i="10"/>
  <c r="E23" i="10"/>
  <c r="F23" i="10" s="1"/>
  <c r="E22" i="10"/>
  <c r="F22" i="10" s="1"/>
  <c r="E21" i="10"/>
  <c r="F21" i="10" s="1"/>
  <c r="E20" i="10"/>
  <c r="F20" i="10" s="1"/>
  <c r="E19" i="10"/>
  <c r="F19" i="10" s="1"/>
  <c r="E18" i="10"/>
  <c r="F18" i="10" s="1"/>
  <c r="E17" i="10"/>
  <c r="F17" i="10" s="1"/>
  <c r="E16" i="10"/>
  <c r="F16" i="10" s="1"/>
  <c r="E15" i="10"/>
  <c r="F15" i="10" s="1"/>
  <c r="E14" i="10"/>
  <c r="F14" i="10" s="1"/>
  <c r="E13" i="10"/>
  <c r="F13" i="10" s="1"/>
  <c r="E12" i="10"/>
  <c r="F12" i="10" s="1"/>
  <c r="E11" i="10"/>
  <c r="F11" i="10" s="1"/>
  <c r="D10" i="10"/>
  <c r="H9" i="10"/>
  <c r="H7" i="10"/>
  <c r="C7" i="10"/>
  <c r="D6" i="10"/>
  <c r="H6" i="10" s="1"/>
  <c r="H4" i="10"/>
  <c r="E33" i="9"/>
  <c r="F33" i="9" s="1"/>
  <c r="E32" i="9"/>
  <c r="F32" i="9" s="1"/>
  <c r="E31" i="9"/>
  <c r="F31" i="9" s="1"/>
  <c r="E30" i="9"/>
  <c r="F30" i="9" s="1"/>
  <c r="E29" i="9"/>
  <c r="F29" i="9" s="1"/>
  <c r="E25" i="9"/>
  <c r="F25" i="9" s="1"/>
  <c r="E24" i="9"/>
  <c r="F24" i="9" s="1"/>
  <c r="E23" i="9"/>
  <c r="F23" i="9" s="1"/>
  <c r="E22" i="9"/>
  <c r="F22" i="9" s="1"/>
  <c r="E21" i="9"/>
  <c r="F21" i="9" s="1"/>
  <c r="E20" i="9"/>
  <c r="F20" i="9" s="1"/>
  <c r="E19" i="9"/>
  <c r="F19" i="9" s="1"/>
  <c r="E18" i="9"/>
  <c r="F18" i="9" s="1"/>
  <c r="E17" i="9"/>
  <c r="F17" i="9" s="1"/>
  <c r="E16" i="9"/>
  <c r="F16" i="9" s="1"/>
  <c r="E15" i="9"/>
  <c r="F15" i="9" s="1"/>
  <c r="E14" i="9"/>
  <c r="F14" i="9" s="1"/>
  <c r="E13" i="9"/>
  <c r="F13" i="9" s="1"/>
  <c r="E12" i="9"/>
  <c r="F12" i="9" s="1"/>
  <c r="E11" i="9"/>
  <c r="F11" i="9" s="1"/>
  <c r="D10" i="9"/>
  <c r="C10" i="9"/>
  <c r="H9" i="9"/>
  <c r="D7" i="9"/>
  <c r="H7" i="9" s="1"/>
  <c r="C7" i="9"/>
  <c r="D6" i="9"/>
  <c r="H6" i="9" s="1"/>
  <c r="C6" i="9"/>
  <c r="D4" i="9"/>
  <c r="H4" i="9" s="1"/>
  <c r="C4" i="9"/>
  <c r="C5" i="9" s="1"/>
  <c r="E33" i="8"/>
  <c r="F33" i="8" s="1"/>
  <c r="F32" i="8"/>
  <c r="F31" i="8"/>
  <c r="F30" i="8"/>
  <c r="E25" i="8"/>
  <c r="F25" i="8" s="1"/>
  <c r="E24" i="8"/>
  <c r="F24" i="8" s="1"/>
  <c r="E23" i="8"/>
  <c r="F23" i="8" s="1"/>
  <c r="E22" i="8"/>
  <c r="F22" i="8" s="1"/>
  <c r="E21" i="8"/>
  <c r="F21" i="8" s="1"/>
  <c r="E20" i="8"/>
  <c r="F20" i="8" s="1"/>
  <c r="E19" i="8"/>
  <c r="F19" i="8" s="1"/>
  <c r="E18" i="8"/>
  <c r="F18" i="8" s="1"/>
  <c r="E17" i="8"/>
  <c r="F17" i="8" s="1"/>
  <c r="E16" i="8"/>
  <c r="F16" i="8" s="1"/>
  <c r="E15" i="8"/>
  <c r="F15" i="8" s="1"/>
  <c r="E14" i="8"/>
  <c r="F14" i="8" s="1"/>
  <c r="E13" i="8"/>
  <c r="F13" i="8" s="1"/>
  <c r="E12" i="8"/>
  <c r="F12" i="8" s="1"/>
  <c r="E11" i="8"/>
  <c r="F11" i="8" s="1"/>
  <c r="D10" i="8"/>
  <c r="C10" i="8"/>
  <c r="H9" i="8"/>
  <c r="D7" i="8"/>
  <c r="H7" i="8" s="1"/>
  <c r="C7" i="8"/>
  <c r="D6" i="8"/>
  <c r="C6" i="8"/>
  <c r="D4" i="8"/>
  <c r="H4" i="8" s="1"/>
  <c r="C4" i="8"/>
  <c r="C5" i="8" s="1"/>
  <c r="D29" i="2"/>
  <c r="E29" i="2"/>
  <c r="F29" i="2"/>
  <c r="G29" i="2"/>
  <c r="D26" i="2"/>
  <c r="E26" i="2"/>
  <c r="F26" i="2"/>
  <c r="G26" i="2"/>
  <c r="D27" i="2"/>
  <c r="E27" i="2"/>
  <c r="F27" i="2"/>
  <c r="G27" i="2"/>
  <c r="C26" i="2"/>
  <c r="C27" i="2"/>
  <c r="D25" i="2"/>
  <c r="C25" i="2"/>
  <c r="E25" i="2"/>
  <c r="F25" i="2"/>
  <c r="G25" i="2"/>
  <c r="E33" i="7"/>
  <c r="F33" i="7" s="1"/>
  <c r="E32" i="7"/>
  <c r="F32" i="7" s="1"/>
  <c r="E31" i="7"/>
  <c r="F31" i="7" s="1"/>
  <c r="E30" i="7"/>
  <c r="F30" i="7" s="1"/>
  <c r="E29" i="7"/>
  <c r="F29" i="7" s="1"/>
  <c r="E28" i="7"/>
  <c r="F28" i="7" s="1"/>
  <c r="E25" i="7"/>
  <c r="F25" i="7" s="1"/>
  <c r="E24" i="7"/>
  <c r="F24" i="7" s="1"/>
  <c r="E23" i="7"/>
  <c r="F23" i="7" s="1"/>
  <c r="E22" i="7"/>
  <c r="F22" i="7" s="1"/>
  <c r="E21" i="7"/>
  <c r="F21" i="7" s="1"/>
  <c r="E20" i="7"/>
  <c r="F20" i="7" s="1"/>
  <c r="E19" i="7"/>
  <c r="F19" i="7" s="1"/>
  <c r="E18" i="7"/>
  <c r="F18" i="7" s="1"/>
  <c r="E17" i="7"/>
  <c r="F17" i="7" s="1"/>
  <c r="E16" i="7"/>
  <c r="F16" i="7" s="1"/>
  <c r="E15" i="7"/>
  <c r="F15" i="7" s="1"/>
  <c r="E14" i="7"/>
  <c r="F14" i="7" s="1"/>
  <c r="E13" i="7"/>
  <c r="F13" i="7" s="1"/>
  <c r="E12" i="7"/>
  <c r="F12" i="7" s="1"/>
  <c r="E11" i="7"/>
  <c r="F11" i="7" s="1"/>
  <c r="D10" i="7"/>
  <c r="H10" i="7" s="1"/>
  <c r="C10" i="7"/>
  <c r="H9" i="7"/>
  <c r="D7" i="7"/>
  <c r="H7" i="7" s="1"/>
  <c r="C7" i="7"/>
  <c r="D6" i="7"/>
  <c r="C6" i="7"/>
  <c r="D4" i="7"/>
  <c r="H4" i="7" s="1"/>
  <c r="C4" i="7"/>
  <c r="C5" i="7" s="1"/>
  <c r="D7" i="6"/>
  <c r="H7" i="6" s="1"/>
  <c r="E11" i="6"/>
  <c r="F11" i="6" s="1"/>
  <c r="E33" i="6"/>
  <c r="F33" i="6" s="1"/>
  <c r="E32" i="6"/>
  <c r="F32" i="6" s="1"/>
  <c r="E31" i="6"/>
  <c r="F31" i="6" s="1"/>
  <c r="E30" i="6"/>
  <c r="F30" i="6" s="1"/>
  <c r="E29" i="6"/>
  <c r="F29" i="6" s="1"/>
  <c r="F28" i="6"/>
  <c r="E25" i="6"/>
  <c r="F25" i="6" s="1"/>
  <c r="E24" i="6"/>
  <c r="F24" i="6" s="1"/>
  <c r="E23" i="6"/>
  <c r="F23" i="6" s="1"/>
  <c r="E22" i="6"/>
  <c r="F22" i="6" s="1"/>
  <c r="E21" i="6"/>
  <c r="F21" i="6" s="1"/>
  <c r="E20" i="6"/>
  <c r="F20" i="6" s="1"/>
  <c r="E19" i="6"/>
  <c r="F19" i="6" s="1"/>
  <c r="E18" i="6"/>
  <c r="F18" i="6" s="1"/>
  <c r="E17" i="6"/>
  <c r="F17" i="6" s="1"/>
  <c r="E16" i="6"/>
  <c r="F16" i="6" s="1"/>
  <c r="E15" i="6"/>
  <c r="F15" i="6" s="1"/>
  <c r="E14" i="6"/>
  <c r="F14" i="6" s="1"/>
  <c r="E13" i="6"/>
  <c r="F13" i="6" s="1"/>
  <c r="E12" i="6"/>
  <c r="F12" i="6" s="1"/>
  <c r="D10" i="6"/>
  <c r="C10" i="6"/>
  <c r="H9" i="6"/>
  <c r="C7" i="6"/>
  <c r="D6" i="6"/>
  <c r="H6" i="6" s="1"/>
  <c r="C6" i="6"/>
  <c r="D4" i="6"/>
  <c r="H4" i="6" s="1"/>
  <c r="C4" i="6"/>
  <c r="C5" i="6" s="1"/>
  <c r="D24" i="2"/>
  <c r="E24" i="2"/>
  <c r="F24" i="2"/>
  <c r="G24" i="2"/>
  <c r="C24" i="2"/>
  <c r="D23" i="2"/>
  <c r="E23" i="2"/>
  <c r="F23" i="2"/>
  <c r="G23" i="2"/>
  <c r="C23" i="2"/>
  <c r="E33" i="5"/>
  <c r="F33" i="5" s="1"/>
  <c r="E32" i="5"/>
  <c r="F32" i="5" s="1"/>
  <c r="E31" i="5"/>
  <c r="F31" i="5" s="1"/>
  <c r="E30" i="5"/>
  <c r="F30" i="5" s="1"/>
  <c r="E29" i="5"/>
  <c r="F29" i="5" s="1"/>
  <c r="E28" i="5"/>
  <c r="F28" i="5" s="1"/>
  <c r="E25" i="5"/>
  <c r="F25" i="5" s="1"/>
  <c r="E24" i="5"/>
  <c r="F24" i="5" s="1"/>
  <c r="E23" i="5"/>
  <c r="F23" i="5" s="1"/>
  <c r="E22" i="5"/>
  <c r="F22" i="5" s="1"/>
  <c r="E21" i="5"/>
  <c r="F21" i="5" s="1"/>
  <c r="E20" i="5"/>
  <c r="F20" i="5" s="1"/>
  <c r="E19" i="5"/>
  <c r="F19" i="5" s="1"/>
  <c r="E18" i="5"/>
  <c r="F18" i="5" s="1"/>
  <c r="E17" i="5"/>
  <c r="F17" i="5" s="1"/>
  <c r="E16" i="5"/>
  <c r="F16" i="5" s="1"/>
  <c r="E15" i="5"/>
  <c r="F15" i="5" s="1"/>
  <c r="E14" i="5"/>
  <c r="F14" i="5" s="1"/>
  <c r="E13" i="5"/>
  <c r="F13" i="5" s="1"/>
  <c r="E12" i="5"/>
  <c r="F12" i="5" s="1"/>
  <c r="E11" i="5"/>
  <c r="F11" i="5" s="1"/>
  <c r="D10" i="5"/>
  <c r="H10" i="5" s="1"/>
  <c r="C10" i="5"/>
  <c r="D7" i="5"/>
  <c r="H7" i="5" s="1"/>
  <c r="C7" i="5"/>
  <c r="D6" i="5"/>
  <c r="H6" i="5" s="1"/>
  <c r="C6" i="5"/>
  <c r="D4" i="5"/>
  <c r="D5" i="5" s="1"/>
  <c r="H5" i="5" s="1"/>
  <c r="C4" i="5"/>
  <c r="C5" i="5" s="1"/>
  <c r="E17" i="3"/>
  <c r="F17" i="3" s="1"/>
  <c r="E32" i="3"/>
  <c r="F32" i="3" s="1"/>
  <c r="E33" i="3"/>
  <c r="F33" i="3" s="1"/>
  <c r="E7" i="12" l="1"/>
  <c r="F7" i="12" s="1"/>
  <c r="D5" i="16"/>
  <c r="H4" i="17"/>
  <c r="D5" i="17"/>
  <c r="H8" i="17"/>
  <c r="E10" i="5"/>
  <c r="F10" i="5" s="1"/>
  <c r="C18" i="14"/>
  <c r="C19" i="14"/>
  <c r="D19" i="14"/>
  <c r="D18" i="14"/>
  <c r="I16" i="21"/>
  <c r="E8" i="21"/>
  <c r="F8" i="21" s="1"/>
  <c r="I16" i="20"/>
  <c r="I16" i="19"/>
  <c r="H10" i="17"/>
  <c r="E8" i="17"/>
  <c r="F8" i="17" s="1"/>
  <c r="E7" i="17"/>
  <c r="F7" i="17" s="1"/>
  <c r="H7" i="17"/>
  <c r="H5" i="17"/>
  <c r="E10" i="17"/>
  <c r="F10" i="17" s="1"/>
  <c r="E5" i="17"/>
  <c r="F5" i="17" s="1"/>
  <c r="E6" i="17"/>
  <c r="F6" i="17" s="1"/>
  <c r="E4" i="17"/>
  <c r="F4" i="17" s="1"/>
  <c r="E9" i="17"/>
  <c r="F9" i="17" s="1"/>
  <c r="E9" i="16"/>
  <c r="F9" i="16" s="1"/>
  <c r="E8" i="16"/>
  <c r="F8" i="16" s="1"/>
  <c r="H8" i="16"/>
  <c r="E6" i="16"/>
  <c r="F6" i="16" s="1"/>
  <c r="E4" i="16"/>
  <c r="F4" i="16" s="1"/>
  <c r="H4" i="16"/>
  <c r="C5" i="16"/>
  <c r="E7" i="16"/>
  <c r="F7" i="16" s="1"/>
  <c r="H9" i="16"/>
  <c r="E10" i="16"/>
  <c r="F10" i="16" s="1"/>
  <c r="E4" i="15"/>
  <c r="F4" i="15" s="1"/>
  <c r="E9" i="15"/>
  <c r="F9" i="15" s="1"/>
  <c r="E7" i="15"/>
  <c r="F7" i="15" s="1"/>
  <c r="H9" i="15"/>
  <c r="C5" i="15"/>
  <c r="H5" i="15"/>
  <c r="H7" i="15"/>
  <c r="E10" i="15"/>
  <c r="F10" i="15" s="1"/>
  <c r="E6" i="15"/>
  <c r="F6" i="15" s="1"/>
  <c r="H8" i="12"/>
  <c r="E7" i="13"/>
  <c r="F7" i="13" s="1"/>
  <c r="H8" i="13"/>
  <c r="H7" i="13"/>
  <c r="E10" i="13"/>
  <c r="F10" i="13" s="1"/>
  <c r="D5" i="13"/>
  <c r="H5" i="13" s="1"/>
  <c r="E6" i="13"/>
  <c r="F6" i="13" s="1"/>
  <c r="E4" i="13"/>
  <c r="F4" i="13" s="1"/>
  <c r="E9" i="13"/>
  <c r="F9" i="13" s="1"/>
  <c r="D5" i="12"/>
  <c r="H5" i="12" s="1"/>
  <c r="E10" i="12"/>
  <c r="F10" i="12" s="1"/>
  <c r="H7" i="12"/>
  <c r="E5" i="12"/>
  <c r="F5" i="12" s="1"/>
  <c r="E6" i="12"/>
  <c r="F6" i="12" s="1"/>
  <c r="E4" i="12"/>
  <c r="F4" i="12" s="1"/>
  <c r="E9" i="12"/>
  <c r="F9" i="12" s="1"/>
  <c r="D5" i="10"/>
  <c r="H5" i="10" s="1"/>
  <c r="E10" i="10"/>
  <c r="F10" i="10" s="1"/>
  <c r="H10" i="10"/>
  <c r="E7" i="10"/>
  <c r="F7" i="10" s="1"/>
  <c r="D37" i="2"/>
  <c r="D43" i="2" s="1"/>
  <c r="E6" i="10"/>
  <c r="F6" i="10" s="1"/>
  <c r="E4" i="10"/>
  <c r="F4" i="10" s="1"/>
  <c r="E9" i="10"/>
  <c r="F9" i="10" s="1"/>
  <c r="D5" i="9"/>
  <c r="H5" i="9" s="1"/>
  <c r="E10" i="9"/>
  <c r="F10" i="9" s="1"/>
  <c r="H10" i="9"/>
  <c r="E7" i="9"/>
  <c r="F7" i="9" s="1"/>
  <c r="E37" i="2"/>
  <c r="E43" i="2" s="1"/>
  <c r="F37" i="2"/>
  <c r="F43" i="2" s="1"/>
  <c r="E6" i="9"/>
  <c r="F6" i="9" s="1"/>
  <c r="E4" i="9"/>
  <c r="F4" i="9" s="1"/>
  <c r="E9" i="9"/>
  <c r="F9" i="9" s="1"/>
  <c r="E7" i="8"/>
  <c r="F7" i="8" s="1"/>
  <c r="H8" i="8"/>
  <c r="E6" i="8"/>
  <c r="F6" i="8" s="1"/>
  <c r="D5" i="8"/>
  <c r="H5" i="8" s="1"/>
  <c r="I16" i="8" s="1"/>
  <c r="G37" i="2"/>
  <c r="G43" i="2" s="1"/>
  <c r="E10" i="8"/>
  <c r="F10" i="8" s="1"/>
  <c r="H10" i="8"/>
  <c r="E4" i="8"/>
  <c r="F4" i="8" s="1"/>
  <c r="H6" i="8"/>
  <c r="E9" i="8"/>
  <c r="F9" i="8" s="1"/>
  <c r="E10" i="7"/>
  <c r="F10" i="7" s="1"/>
  <c r="D5" i="7"/>
  <c r="H5" i="7" s="1"/>
  <c r="E7" i="7"/>
  <c r="F7" i="7" s="1"/>
  <c r="E5" i="7"/>
  <c r="F5" i="7" s="1"/>
  <c r="E8" i="7"/>
  <c r="F8" i="7" s="1"/>
  <c r="E6" i="7"/>
  <c r="F6" i="7" s="1"/>
  <c r="H8" i="7"/>
  <c r="H6" i="7"/>
  <c r="E9" i="7"/>
  <c r="F9" i="7" s="1"/>
  <c r="E4" i="7"/>
  <c r="F4" i="7" s="1"/>
  <c r="E7" i="6"/>
  <c r="F7" i="6" s="1"/>
  <c r="H8" i="6"/>
  <c r="E9" i="6"/>
  <c r="F9" i="6" s="1"/>
  <c r="D5" i="6"/>
  <c r="H5" i="6" s="1"/>
  <c r="E5" i="6"/>
  <c r="F5" i="6" s="1"/>
  <c r="H10" i="6"/>
  <c r="E6" i="6"/>
  <c r="F6" i="6" s="1"/>
  <c r="E4" i="6"/>
  <c r="F4" i="6" s="1"/>
  <c r="E10" i="6"/>
  <c r="F10" i="6" s="1"/>
  <c r="E4" i="5"/>
  <c r="F4" i="5" s="1"/>
  <c r="E8" i="5"/>
  <c r="F8" i="5" s="1"/>
  <c r="H8" i="5"/>
  <c r="E6" i="5"/>
  <c r="F6" i="5" s="1"/>
  <c r="E7" i="5"/>
  <c r="F7" i="5" s="1"/>
  <c r="H9" i="5"/>
  <c r="E9" i="5"/>
  <c r="F9" i="5" s="1"/>
  <c r="H4" i="5"/>
  <c r="I16" i="13" l="1"/>
  <c r="E8" i="8"/>
  <c r="F8" i="8" s="1"/>
  <c r="E8" i="9"/>
  <c r="F8" i="9" s="1"/>
  <c r="I16" i="6"/>
  <c r="E8" i="6"/>
  <c r="F8" i="6" s="1"/>
  <c r="I16" i="17"/>
  <c r="H5" i="16"/>
  <c r="I16" i="16" s="1"/>
  <c r="E5" i="16"/>
  <c r="F5" i="16" s="1"/>
  <c r="H8" i="15"/>
  <c r="I16" i="15" s="1"/>
  <c r="E8" i="15"/>
  <c r="F8" i="15" s="1"/>
  <c r="E5" i="15"/>
  <c r="F5" i="15" s="1"/>
  <c r="E8" i="12"/>
  <c r="F8" i="12" s="1"/>
  <c r="E8" i="13"/>
  <c r="E5" i="10"/>
  <c r="F5" i="10" s="1"/>
  <c r="E8" i="10"/>
  <c r="F8" i="10" s="1"/>
  <c r="E5" i="8"/>
  <c r="F5" i="8" s="1"/>
  <c r="E5" i="13"/>
  <c r="F5" i="13" s="1"/>
  <c r="I16" i="12"/>
  <c r="H8" i="10"/>
  <c r="I16" i="10" s="1"/>
  <c r="H8" i="9"/>
  <c r="I16" i="9" s="1"/>
  <c r="E5" i="9"/>
  <c r="F5" i="9" s="1"/>
  <c r="I16" i="7"/>
  <c r="E5" i="5"/>
  <c r="F5" i="5" s="1"/>
  <c r="I16" i="5"/>
  <c r="C4" i="3" l="1"/>
  <c r="D4" i="3"/>
  <c r="C6" i="3"/>
  <c r="E6" i="3" s="1"/>
  <c r="F6" i="3" s="1"/>
  <c r="D10" i="3"/>
  <c r="E10" i="3" s="1"/>
  <c r="F10" i="3" s="1"/>
  <c r="E11" i="3"/>
  <c r="F11" i="3" s="1"/>
  <c r="E12" i="3"/>
  <c r="F12" i="3" s="1"/>
  <c r="E13" i="3"/>
  <c r="F13" i="3" s="1"/>
  <c r="C14" i="3"/>
  <c r="D14" i="3"/>
  <c r="E15" i="3"/>
  <c r="F15" i="3" s="1"/>
  <c r="E16" i="3"/>
  <c r="F16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5" i="3"/>
  <c r="F25" i="3" s="1"/>
  <c r="E29" i="3"/>
  <c r="F29" i="3" s="1"/>
  <c r="E30" i="3"/>
  <c r="F30" i="3" s="1"/>
  <c r="E31" i="3"/>
  <c r="F31" i="3" s="1"/>
  <c r="H10" i="3" l="1"/>
  <c r="D7" i="3"/>
  <c r="H7" i="3" s="1"/>
  <c r="D5" i="3"/>
  <c r="E4" i="3"/>
  <c r="F4" i="3" s="1"/>
  <c r="H8" i="3"/>
  <c r="H4" i="3"/>
  <c r="E14" i="3"/>
  <c r="F14" i="3" s="1"/>
  <c r="E9" i="3"/>
  <c r="F9" i="3" s="1"/>
  <c r="H9" i="3"/>
  <c r="C5" i="3"/>
  <c r="H6" i="3"/>
  <c r="E8" i="3" l="1"/>
  <c r="F8" i="3" s="1"/>
  <c r="E5" i="3"/>
  <c r="F5" i="3" s="1"/>
  <c r="H5" i="3"/>
  <c r="I16" i="3" s="1"/>
  <c r="E7" i="3"/>
  <c r="F7" i="3" s="1"/>
</calcChain>
</file>

<file path=xl/sharedStrings.xml><?xml version="1.0" encoding="utf-8"?>
<sst xmlns="http://schemas.openxmlformats.org/spreadsheetml/2006/main" count="764" uniqueCount="80">
  <si>
    <r>
      <t xml:space="preserve">Darbinieku skaits
</t>
    </r>
    <r>
      <rPr>
        <i/>
        <sz val="16"/>
        <color theme="1"/>
        <rFont val="Times New Roman"/>
        <family val="1"/>
        <charset val="186"/>
      </rPr>
      <t>(saskaņā ar gada pārskatiem)</t>
    </r>
  </si>
  <si>
    <t>Kurekss SIA</t>
  </si>
  <si>
    <t>Piebalgas SIA </t>
  </si>
  <si>
    <t>Pata Jēkabpils SIA</t>
  </si>
  <si>
    <t>Gaujas koks SIA </t>
  </si>
  <si>
    <t>Pata Saldus SIA</t>
  </si>
  <si>
    <t>Vika Wood SIA </t>
  </si>
  <si>
    <t>Stora Enso Latvija AS</t>
  </si>
  <si>
    <t>BSW Latvia SIA </t>
  </si>
  <si>
    <t>Smiltene Impex SIA </t>
  </si>
  <si>
    <t>AKZ SIA </t>
  </si>
  <si>
    <t>Rettenmeier Baltic Timber SIA </t>
  </si>
  <si>
    <t>Krauzers SIA</t>
  </si>
  <si>
    <t>Silpec SIA</t>
  </si>
  <si>
    <t>Vudlande SIA</t>
  </si>
  <si>
    <t>Kopā</t>
  </si>
  <si>
    <t>Vidēji</t>
  </si>
  <si>
    <r>
      <t xml:space="preserve">Darbinieku skaita izmaiņas pret iepriekšējo gadu %
</t>
    </r>
    <r>
      <rPr>
        <i/>
        <sz val="16"/>
        <color theme="1"/>
        <rFont val="Times New Roman"/>
        <family val="1"/>
        <charset val="186"/>
      </rPr>
      <t>(saskaņā ar gada pārskatiem)</t>
    </r>
  </si>
  <si>
    <t>*uzņēmums uzsācis darbību 2019. gadā, tam bijis straujš darbinieku skaita pieaugums</t>
  </si>
  <si>
    <t>Darbinieku skaita izmaiņas kopā</t>
  </si>
  <si>
    <t>Darbinieki kopā</t>
  </si>
  <si>
    <t>Skaita izmaiņa pret iepriekšējo gadu</t>
  </si>
  <si>
    <t>% izmaiņas pret iepriekšējo gadu</t>
  </si>
  <si>
    <t>helper</t>
  </si>
  <si>
    <t>Pārskata gada peļņa/zaudējumi</t>
  </si>
  <si>
    <t>Rādītājs</t>
  </si>
  <si>
    <t>Rādītāja izmaiņas, EUR/ skal. vienīb.</t>
  </si>
  <si>
    <t>Rādītāja izmaiņas, %</t>
  </si>
  <si>
    <t>Punkti</t>
  </si>
  <si>
    <t>Vērtējums</t>
  </si>
  <si>
    <t>EBITDA</t>
  </si>
  <si>
    <t>0-1</t>
  </si>
  <si>
    <t>Debt/EBITDA</t>
  </si>
  <si>
    <t>Kopējais likviditātes rādītājs</t>
  </si>
  <si>
    <t>0-2</t>
  </si>
  <si>
    <t>Pašu kapitāla koeficients</t>
  </si>
  <si>
    <t>DSCR</t>
  </si>
  <si>
    <t>Bankrota iespējamība (Altmana Z modelis)</t>
  </si>
  <si>
    <t>Quick Ratio</t>
  </si>
  <si>
    <t xml:space="preserve">Apgrozāmie līdzekļi </t>
  </si>
  <si>
    <t>Īstermiņa saistības</t>
  </si>
  <si>
    <t>Ilgtermiņa saistības</t>
  </si>
  <si>
    <t>Maksimālie iespējamie punkti =</t>
  </si>
  <si>
    <t>Visas saistības</t>
  </si>
  <si>
    <t>Rekomendētais punktu skaits =</t>
  </si>
  <si>
    <t>Bilances kopsumma</t>
  </si>
  <si>
    <t>Minimālais punktu skaits =</t>
  </si>
  <si>
    <t>Pašu kapitāls</t>
  </si>
  <si>
    <t>Iegūtie punkti =</t>
  </si>
  <si>
    <t>Aktīvu vidējā vērtība</t>
  </si>
  <si>
    <t>Debitori</t>
  </si>
  <si>
    <t>Neto apgrozījums</t>
  </si>
  <si>
    <t>Pārdotās produkcijas ražošanas izmaksas</t>
  </si>
  <si>
    <t>Bruto peļņa</t>
  </si>
  <si>
    <t>Administrācijas izmaksas</t>
  </si>
  <si>
    <t>Pārējie saimnieciskās darbības ieņēmumi</t>
  </si>
  <si>
    <t>Naudas līdzekļi</t>
  </si>
  <si>
    <t>Pārējie saimnieciskās darbības izdevumi</t>
  </si>
  <si>
    <t>Izdevumi aizņēmumu atmaksāšanai</t>
  </si>
  <si>
    <t>Izdevumi nomāta pamatlīdzekļa izpirkumam</t>
  </si>
  <si>
    <t>Procentu maksājumi un tml. izmaksas</t>
  </si>
  <si>
    <t>Nolietojums</t>
  </si>
  <si>
    <t>Peļņa pirms nodokļiem</t>
  </si>
  <si>
    <t>Pārskata gada peļņa vai zaudējumi</t>
  </si>
  <si>
    <t>Iepriekšējo gadu nesadalītā peļņa vai nesegtie zaudējumi</t>
  </si>
  <si>
    <t>Darbinieku skaits</t>
  </si>
  <si>
    <t>Piebalgas SIA</t>
  </si>
  <si>
    <t>Pata Jēkabpils SIA</t>
  </si>
  <si>
    <t>*lielāko daļu veido parādi radniecīgām sabiedrībām</t>
  </si>
  <si>
    <t>Gaujas Koks SIA</t>
  </si>
  <si>
    <t>Vika Wood SIA</t>
  </si>
  <si>
    <t>Procentu maksājumi</t>
  </si>
  <si>
    <t>BSW Latvia SIA</t>
  </si>
  <si>
    <t>AKZ SIA</t>
  </si>
  <si>
    <t>Rettenmeier Baltic Timber SIA</t>
  </si>
  <si>
    <t>Smiltene Impex SIA</t>
  </si>
  <si>
    <t>SIA Krauzers</t>
  </si>
  <si>
    <t>SIA Silpec</t>
  </si>
  <si>
    <t>SIA Vudlande</t>
  </si>
  <si>
    <t>Pata SIA (konsolidēti)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</si>
</sst>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"/>
  </numFmts>
  <fonts count="8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6"/>
      <color theme="1"/>
      <name val="Times New Roman"/>
      <family val="1"/>
      <charset val="186"/>
    </font>
    <font>
      <i/>
      <sz val="16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 applyProtection="1">
      <alignment horizontal="center" vertical="center"/>
      <protection locked="0"/>
    </xf>
    <xf numFmtId="3" fontId="1" fillId="4" borderId="1" xfId="0" applyNumberFormat="1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10" fontId="2" fillId="2" borderId="0" xfId="0" applyNumberFormat="1" applyFont="1" applyFill="1" applyAlignment="1" applyProtection="1">
      <alignment horizontal="left" vertical="top"/>
      <protection locked="0"/>
    </xf>
    <xf numFmtId="0" fontId="1" fillId="4" borderId="5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9" fontId="0" fillId="0" borderId="0" xfId="1" applyFont="1"/>
    <xf numFmtId="10" fontId="2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/>
              <a:t>Darbinieku skaita izmaiņas pa uzņēmumiem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'Darbinieku skaits'!$B$4</c:f>
              <c:strCache>
                <c:ptCount val="1"/>
                <c:pt idx="0">
                  <c:v>Kurekss SIA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skaits'!$C$4:$H$4</c:f>
              <c:numCache>
                <c:formatCode>#,##0</c:formatCode>
                <c:ptCount val="6"/>
                <c:pt idx="0">
                  <c:v>199</c:v>
                </c:pt>
                <c:pt idx="1">
                  <c:v>189</c:v>
                </c:pt>
                <c:pt idx="2">
                  <c:v>177</c:v>
                </c:pt>
                <c:pt idx="3">
                  <c:v>171</c:v>
                </c:pt>
                <c:pt idx="4">
                  <c:v>159</c:v>
                </c:pt>
                <c:pt idx="5">
                  <c:v>149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2D-436D-90B2-AD2512D87D4B}"/>
            </c:ext>
          </c:extLst>
        </c:ser>
        <c:ser>
          <c:idx val="1"/>
          <c:order val="1"/>
          <c:tx>
            <c:strRef>
              <c:f>'Darbinieku skaits'!$B$5</c:f>
              <c:strCache>
                <c:ptCount val="1"/>
                <c:pt idx="0">
                  <c:v>Piebalgas SIA 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skaits'!$C$5:$H$5</c:f>
              <c:numCache>
                <c:formatCode>#,##0</c:formatCode>
                <c:ptCount val="6"/>
                <c:pt idx="0">
                  <c:v>63</c:v>
                </c:pt>
                <c:pt idx="1">
                  <c:v>63</c:v>
                </c:pt>
                <c:pt idx="2">
                  <c:v>63</c:v>
                </c:pt>
                <c:pt idx="3">
                  <c:v>62</c:v>
                </c:pt>
                <c:pt idx="4">
                  <c:v>57</c:v>
                </c:pt>
                <c:pt idx="5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2D-436D-90B2-AD2512D87D4B}"/>
            </c:ext>
          </c:extLst>
        </c:ser>
        <c:ser>
          <c:idx val="2"/>
          <c:order val="2"/>
          <c:tx>
            <c:strRef>
              <c:f>'Darbinieku skaits'!$B$6</c:f>
              <c:strCache>
                <c:ptCount val="1"/>
                <c:pt idx="0">
                  <c:v>Pata Jēkabpils SIA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skaits'!$C$6:$H$6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11</c:v>
                </c:pt>
                <c:pt idx="3">
                  <c:v>49</c:v>
                </c:pt>
                <c:pt idx="4">
                  <c:v>62</c:v>
                </c:pt>
                <c:pt idx="5">
                  <c:v>117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2D-436D-90B2-AD2512D87D4B}"/>
            </c:ext>
          </c:extLst>
        </c:ser>
        <c:ser>
          <c:idx val="3"/>
          <c:order val="3"/>
          <c:tx>
            <c:strRef>
              <c:f>'Darbinieku skaits'!$B$7</c:f>
              <c:strCache>
                <c:ptCount val="1"/>
                <c:pt idx="0">
                  <c:v>Gaujas koks SIA 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skaits'!$C$7:$H$7</c:f>
              <c:numCache>
                <c:formatCode>General</c:formatCode>
                <c:ptCount val="6"/>
                <c:pt idx="0">
                  <c:v>343</c:v>
                </c:pt>
                <c:pt idx="1">
                  <c:v>357</c:v>
                </c:pt>
                <c:pt idx="2">
                  <c:v>466</c:v>
                </c:pt>
                <c:pt idx="3">
                  <c:v>484</c:v>
                </c:pt>
                <c:pt idx="4">
                  <c:v>425</c:v>
                </c:pt>
                <c:pt idx="5">
                  <c:v>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A2D-436D-90B2-AD2512D87D4B}"/>
            </c:ext>
          </c:extLst>
        </c:ser>
        <c:ser>
          <c:idx val="4"/>
          <c:order val="4"/>
          <c:tx>
            <c:strRef>
              <c:f>'Darbinieku skaits'!$B$8</c:f>
              <c:strCache>
                <c:ptCount val="1"/>
                <c:pt idx="0">
                  <c:v>Pata Saldus SIA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skaits'!$C$8:$H$8</c:f>
              <c:numCache>
                <c:formatCode>General</c:formatCode>
                <c:ptCount val="6"/>
                <c:pt idx="0">
                  <c:v>238</c:v>
                </c:pt>
                <c:pt idx="1">
                  <c:v>237</c:v>
                </c:pt>
                <c:pt idx="2">
                  <c:v>246</c:v>
                </c:pt>
                <c:pt idx="3">
                  <c:v>217</c:v>
                </c:pt>
                <c:pt idx="4">
                  <c:v>178</c:v>
                </c:pt>
                <c:pt idx="5">
                  <c:v>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A2D-436D-90B2-AD2512D87D4B}"/>
            </c:ext>
          </c:extLst>
        </c:ser>
        <c:ser>
          <c:idx val="5"/>
          <c:order val="5"/>
          <c:tx>
            <c:strRef>
              <c:f>'Darbinieku skaits'!$B$9</c:f>
              <c:strCache>
                <c:ptCount val="1"/>
                <c:pt idx="0">
                  <c:v>Vika Wood SIA 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6"/>
              </a:soli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skaits'!$C$9:$H$9</c:f>
              <c:numCache>
                <c:formatCode>General</c:formatCode>
                <c:ptCount val="6"/>
                <c:pt idx="0">
                  <c:v>132</c:v>
                </c:pt>
                <c:pt idx="1">
                  <c:v>135</c:v>
                </c:pt>
                <c:pt idx="2">
                  <c:v>134</c:v>
                </c:pt>
                <c:pt idx="3">
                  <c:v>140</c:v>
                </c:pt>
                <c:pt idx="4">
                  <c:v>137</c:v>
                </c:pt>
                <c:pt idx="5">
                  <c:v>136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A2D-436D-90B2-AD2512D87D4B}"/>
            </c:ext>
          </c:extLst>
        </c:ser>
        <c:ser>
          <c:idx val="6"/>
          <c:order val="6"/>
          <c:tx>
            <c:strRef>
              <c:f>'Darbinieku skaits'!$B$10</c:f>
              <c:strCache>
                <c:ptCount val="1"/>
                <c:pt idx="0">
                  <c:v>Stora Enso Latvija AS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plus"/>
            <c:size val="6"/>
            <c:spPr>
              <a:noFill/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skaits'!$C$10:$H$10</c:f>
              <c:numCache>
                <c:formatCode>General</c:formatCode>
                <c:ptCount val="6"/>
                <c:pt idx="0">
                  <c:v>169</c:v>
                </c:pt>
                <c:pt idx="1">
                  <c:v>190</c:v>
                </c:pt>
                <c:pt idx="2">
                  <c:v>222</c:v>
                </c:pt>
                <c:pt idx="3">
                  <c:v>228</c:v>
                </c:pt>
                <c:pt idx="4">
                  <c:v>222</c:v>
                </c:pt>
                <c:pt idx="5">
                  <c:v>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9A2D-436D-90B2-AD2512D87D4B}"/>
            </c:ext>
          </c:extLst>
        </c:ser>
        <c:ser>
          <c:idx val="7"/>
          <c:order val="7"/>
          <c:tx>
            <c:strRef>
              <c:f>'Darbinieku skaits'!$B$11</c:f>
              <c:strCache>
                <c:ptCount val="1"/>
                <c:pt idx="0">
                  <c:v>BSW Latvia SIA </c:v>
                </c:pt>
              </c:strCache>
            </c:strRef>
          </c:tx>
          <c:spPr>
            <a:ln w="222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dot"/>
            <c:size val="6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skaits'!$C$11:$H$11</c:f>
              <c:numCache>
                <c:formatCode>General</c:formatCode>
                <c:ptCount val="6"/>
                <c:pt idx="0">
                  <c:v>166</c:v>
                </c:pt>
                <c:pt idx="1">
                  <c:v>165</c:v>
                </c:pt>
                <c:pt idx="2">
                  <c:v>170</c:v>
                </c:pt>
                <c:pt idx="3">
                  <c:v>169</c:v>
                </c:pt>
                <c:pt idx="4">
                  <c:v>185</c:v>
                </c:pt>
                <c:pt idx="5">
                  <c:v>191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9A2D-436D-90B2-AD2512D87D4B}"/>
            </c:ext>
          </c:extLst>
        </c:ser>
        <c:ser>
          <c:idx val="8"/>
          <c:order val="8"/>
          <c:tx>
            <c:strRef>
              <c:f>'Darbinieku skaits'!$B$12</c:f>
              <c:strCache>
                <c:ptCount val="1"/>
                <c:pt idx="0">
                  <c:v>Smiltene Impex SIA </c:v>
                </c:pt>
              </c:strCache>
            </c:strRef>
          </c:tx>
          <c:spPr>
            <a:ln w="222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dash"/>
            <c:size val="6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skaits'!$C$12:$H$12</c:f>
              <c:numCache>
                <c:formatCode>General</c:formatCode>
                <c:ptCount val="6"/>
                <c:pt idx="0">
                  <c:v>55</c:v>
                </c:pt>
                <c:pt idx="1">
                  <c:v>56</c:v>
                </c:pt>
                <c:pt idx="2">
                  <c:v>92</c:v>
                </c:pt>
                <c:pt idx="3">
                  <c:v>94</c:v>
                </c:pt>
                <c:pt idx="4">
                  <c:v>80</c:v>
                </c:pt>
                <c:pt idx="5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9A2D-436D-90B2-AD2512D87D4B}"/>
            </c:ext>
          </c:extLst>
        </c:ser>
        <c:ser>
          <c:idx val="9"/>
          <c:order val="9"/>
          <c:tx>
            <c:strRef>
              <c:f>'Darbinieku skaits'!$B$13</c:f>
              <c:strCache>
                <c:ptCount val="1"/>
                <c:pt idx="0">
                  <c:v>AKZ SIA </c:v>
                </c:pt>
              </c:strCache>
            </c:strRef>
          </c:tx>
          <c:spPr>
            <a:ln w="2222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skaits'!$C$13:$H$13</c:f>
              <c:numCache>
                <c:formatCode>General</c:formatCode>
                <c:ptCount val="6"/>
                <c:pt idx="0">
                  <c:v>281</c:v>
                </c:pt>
                <c:pt idx="1">
                  <c:v>278</c:v>
                </c:pt>
                <c:pt idx="2">
                  <c:v>280</c:v>
                </c:pt>
                <c:pt idx="3">
                  <c:v>272</c:v>
                </c:pt>
                <c:pt idx="4">
                  <c:v>253</c:v>
                </c:pt>
                <c:pt idx="5">
                  <c:v>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9A2D-436D-90B2-AD2512D87D4B}"/>
            </c:ext>
          </c:extLst>
        </c:ser>
        <c:ser>
          <c:idx val="10"/>
          <c:order val="10"/>
          <c:tx>
            <c:strRef>
              <c:f>'Darbinieku skaits'!$B$14</c:f>
              <c:strCache>
                <c:ptCount val="1"/>
                <c:pt idx="0">
                  <c:v>Rettenmeier Baltic Timber SIA </c:v>
                </c:pt>
              </c:strCache>
            </c:strRef>
          </c:tx>
          <c:spPr>
            <a:ln w="2222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  <a:round/>
              </a:ln>
              <a:effectLst/>
            </c:spPr>
          </c:marker>
          <c:cat>
            <c:numRef>
              <c:f>'Darbinieku skaits'!$C$3:$H$3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'Darbinieku skaits'!$C$14:$H$14</c:f>
              <c:numCache>
                <c:formatCode>General</c:formatCode>
                <c:ptCount val="6"/>
                <c:pt idx="0">
                  <c:v>295</c:v>
                </c:pt>
                <c:pt idx="1">
                  <c:v>273</c:v>
                </c:pt>
                <c:pt idx="2">
                  <c:v>263</c:v>
                </c:pt>
                <c:pt idx="3">
                  <c:v>244</c:v>
                </c:pt>
                <c:pt idx="4">
                  <c:v>236</c:v>
                </c:pt>
                <c:pt idx="5">
                  <c:v>237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9A2D-436D-90B2-AD2512D87D4B}"/>
            </c:ext>
          </c:extLst>
        </c:ser>
        <c:ser>
          <c:idx val="11"/>
          <c:order val="11"/>
          <c:tx>
            <c:strRef>
              <c:f>'Darbinieku skaits'!$B$19</c:f>
              <c:strCache>
                <c:ptCount val="1"/>
                <c:pt idx="0">
                  <c:v>Vidēji</c:v>
                </c:pt>
              </c:strCache>
            </c:strRef>
          </c:tx>
          <c:spPr>
            <a:ln w="2222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  <a:round/>
              </a:ln>
              <a:effectLst/>
            </c:spPr>
          </c:marker>
          <c:val>
            <c:numRef>
              <c:f>'Darbinieku skaits'!$C$19:$H$19</c:f>
              <c:numCache>
                <c:formatCode>0</c:formatCode>
                <c:ptCount val="6"/>
                <c:pt idx="0">
                  <c:v>162</c:v>
                </c:pt>
                <c:pt idx="1">
                  <c:v>162</c:v>
                </c:pt>
                <c:pt idx="2">
                  <c:v>177</c:v>
                </c:pt>
                <c:pt idx="3">
                  <c:v>180</c:v>
                </c:pt>
                <c:pt idx="4">
                  <c:v>167</c:v>
                </c:pt>
                <c:pt idx="5">
                  <c:v>175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9A2D-436D-90B2-AD2512D87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5277952"/>
        <c:axId val="1985261632"/>
      </c:lineChart>
      <c:catAx>
        <c:axId val="198527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985261632"/>
        <c:crosses val="autoZero"/>
        <c:auto val="1"/>
        <c:lblAlgn val="ctr"/>
        <c:lblOffset val="100"/>
        <c:noMultiLvlLbl val="0"/>
      </c:catAx>
      <c:valAx>
        <c:axId val="198526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985277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lv-LV"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lv-LV" sz="14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Kopējā darbinieku skaita izmaiņas (14 uZŅĒMUMI)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lv-LV" sz="1600" b="1" i="0" u="none" strike="noStrike" kern="1200" cap="all" spc="120" normalizeH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'Darbinieku skaits'!$B$41</c:f>
              <c:strCache>
                <c:ptCount val="1"/>
                <c:pt idx="0">
                  <c:v>Darbinieki kopā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'Darbinieku skaits'!$C$40:$G$40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'Darbinieku skaits'!$C$41:$G$41</c:f>
              <c:numCache>
                <c:formatCode>General</c:formatCode>
                <c:ptCount val="5"/>
                <c:pt idx="0" formatCode="#,##0">
                  <c:v>2270</c:v>
                </c:pt>
                <c:pt idx="1">
                  <c:v>2479</c:v>
                </c:pt>
                <c:pt idx="2">
                  <c:v>2514</c:v>
                </c:pt>
                <c:pt idx="3">
                  <c:v>2343</c:v>
                </c:pt>
                <c:pt idx="4">
                  <c:v>2443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7-443B-9A9B-80906622E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357168"/>
        <c:axId val="469355728"/>
      </c:barChart>
      <c:lineChart>
        <c:grouping val="standard"/>
        <c:varyColors val="0"/>
        <c:ser>
          <c:idx val="1"/>
          <c:order val="1"/>
          <c:tx>
            <c:strRef>
              <c:f>'Darbinieku skaits'!$B$43</c:f>
              <c:strCache>
                <c:ptCount val="1"/>
                <c:pt idx="0">
                  <c:v>% izmaiņas pret iepriekšējo gadu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8288052298663468E-17"/>
                  <c:y val="-2.5559099001509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EE7-443B-9A9B-80906622E439}"/>
                </c:ext>
              </c:extLst>
            </c:dLbl>
            <c:dLbl>
              <c:idx val="1"/>
              <c:layout>
                <c:manualLayout>
                  <c:x val="1.1970499787217297E-2"/>
                  <c:y val="6.38977475037741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EE7-443B-9A9B-80906622E439}"/>
                </c:ext>
              </c:extLst>
            </c:dLbl>
            <c:dLbl>
              <c:idx val="2"/>
              <c:layout>
                <c:manualLayout>
                  <c:x val="0"/>
                  <c:y val="-1.58856195366603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EE7-443B-9A9B-80906622E43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1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'Darbinieku skaits'!$C$40:$G$40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'Darbinieku skaits'!$C$43:$G$43</c:f>
              <c:numCache>
                <c:formatCode>0.0%</c:formatCode>
                <c:ptCount val="5"/>
                <c:pt idx="0">
                  <c:v>2E-3</c:v>
                </c:pt>
                <c:pt idx="1">
                  <c:v>9.1999999999999998E-2</c:v>
                </c:pt>
                <c:pt idx="2">
                  <c:v>1.4E-2</c:v>
                </c:pt>
                <c:pt idx="3">
                  <c:v>-6.8000000000000005E-2</c:v>
                </c:pt>
                <c:pt idx="4">
                  <c:v>4.2999999999999997E-2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E7-443B-9A9B-80906622E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348528"/>
        <c:axId val="469359568"/>
      </c:lineChart>
      <c:catAx>
        <c:axId val="469357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469355728"/>
        <c:crosses val="autoZero"/>
        <c:auto val="1"/>
        <c:lblAlgn val="ctr"/>
        <c:lblOffset val="100"/>
        <c:noMultiLvlLbl val="0"/>
      </c:catAx>
      <c:valAx>
        <c:axId val="46935572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469357168"/>
        <c:crosses val="autoZero"/>
        <c:crossBetween val="between"/>
      </c:valAx>
      <c:valAx>
        <c:axId val="469359568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469348528"/>
        <c:crosses val="max"/>
        <c:crossBetween val="between"/>
      </c:valAx>
      <c:catAx>
        <c:axId val="46934852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693595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264655</xdr:colOff>
      <xdr:row>1</xdr:row>
      <xdr:rowOff>105002</xdr:rowOff>
    </xdr:from>
    <xdr:to>
      <xdr:col>18</xdr:col>
      <xdr:colOff>464910</xdr:colOff>
      <xdr:row>21</xdr:row>
      <xdr:rowOff>200932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D2B149C-AC79-2718-B22E-05B821D081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256494</xdr:colOff>
      <xdr:row>25</xdr:row>
      <xdr:rowOff>123370</xdr:rowOff>
    </xdr:from>
    <xdr:to>
      <xdr:col>18</xdr:col>
      <xdr:colOff>505278</xdr:colOff>
      <xdr:row>47</xdr:row>
      <xdr:rowOff>132896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3B32960C-FF8B-1DA1-6C86-3EF0D23F5EE0}"/>
            </a:ext>
          </a:extLst>
        </xdr:cNvPr>
        <xdr:cNvGrpSpPr/>
      </xdr:nvGrpSpPr>
      <xdr:grpSpPr>
        <a:xfrm>
          <a:off x="7558994" y="6663870"/>
          <a:ext cx="6281284" cy="5168901"/>
          <a:chOff x="7638369" y="5695495"/>
          <a:chExt cx="6344784" cy="4000501"/>
        </a:xfrm>
      </xdr:grpSpPr>
      <xdr:graphicFrame macro="">
        <xdr:nvGraphicFramePr>
          <xdr:cNvPr id="5" name="Chart 4">
            <a:extLst>
              <a:ext uri="{FF2B5EF4-FFF2-40B4-BE49-F238E27FC236}">
                <a16:creationId xmlns:a16="http://schemas.microsoft.com/office/drawing/2014/main" id="{0CE5D239-0B77-56E2-B9DD-16E682BD0839}"/>
              </a:ext>
            </a:extLst>
          </xdr:cNvPr>
          <xdr:cNvGraphicFramePr/>
        </xdr:nvGraphicFramePr>
        <xdr:xfrm>
          <a:off x="7638369" y="5695495"/>
          <a:ext cx="6344784" cy="40005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cxnSp macro="">
        <xdr:nvCxnSpPr>
          <xdr:cNvPr id="7" name="Straight Connector 6">
            <a:extLst>
              <a:ext uri="{FF2B5EF4-FFF2-40B4-BE49-F238E27FC236}">
                <a16:creationId xmlns:a16="http://schemas.microsoft.com/office/drawing/2014/main" id="{FDE324AD-0695-1589-5A9C-B3328C24F8F6}"/>
              </a:ext>
            </a:extLst>
          </xdr:cNvPr>
          <xdr:cNvCxnSpPr/>
        </xdr:nvCxnSpPr>
        <xdr:spPr>
          <a:xfrm>
            <a:off x="8074025" y="7937047"/>
            <a:ext cx="5432878" cy="0"/>
          </a:xfrm>
          <a:prstGeom prst="line">
            <a:avLst/>
          </a:prstGeom>
          <a:ln>
            <a:solidFill>
              <a:schemeClr val="bg1">
                <a:lumMod val="50000"/>
              </a:schemeClr>
            </a:solidFill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914854</xdr:colOff>
      <xdr:row>1</xdr:row>
      <xdr:rowOff>112034</xdr:rowOff>
    </xdr:from>
    <xdr:to>
      <xdr:col>24</xdr:col>
      <xdr:colOff>248657</xdr:colOff>
      <xdr:row>22</xdr:row>
      <xdr:rowOff>209841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6ED9C8-FC9C-CEFB-C372-CC9DEFDD4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27640" y="343355"/>
          <a:ext cx="10763803" cy="563591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05098-16A0-4C2C-856A-8DC858778BC7}">
  <dimension ref="B2:H44"/>
  <sheetViews>
    <sheetView zoomScale="60" zoomScaleNormal="60" workbookViewId="0">
      <selection activeCell="Q63" sqref="Q63"/>
    </sheetView>
  </sheetViews>
  <sheetFormatPr defaultRowHeight="15" x14ac:dyDescent="0.25"/>
  <cols>
    <col min="2" max="2" width="41.85546875" bestFit="1" customWidth="1"/>
    <col min="3" max="3" width="9.5703125" bestFit="1" customWidth="1"/>
    <col min="4" max="4" width="10.85546875" bestFit="1" customWidth="1"/>
    <col min="5" max="8" width="9.5703125" bestFit="1" customWidth="1"/>
  </cols>
  <sheetData>
    <row r="2" spans="2:8" ht="45" customHeight="1" x14ac:dyDescent="0.25">
      <c r="B2" s="29" t="s">
        <v>0</v>
      </c>
      <c r="C2" s="30"/>
      <c r="D2" s="30"/>
      <c r="E2" s="30"/>
      <c r="F2" s="30"/>
      <c r="G2" s="30"/>
      <c r="H2" s="31"/>
    </row>
    <row r="3" spans="2:8" ht="19.5" x14ac:dyDescent="0.25">
      <c r="B3" s="2"/>
      <c r="C3" s="2">
        <v>2019</v>
      </c>
      <c r="D3" s="2">
        <v>2020</v>
      </c>
      <c r="E3" s="2">
        <v>2021</v>
      </c>
      <c r="F3" s="2">
        <v>2022</v>
      </c>
      <c r="G3" s="2">
        <v>2023</v>
      </c>
      <c r="H3" s="2">
        <v>2024</v>
      </c>
    </row>
    <row r="4" spans="2:8" ht="18.75" x14ac:dyDescent="0.25">
      <c r="B4" s="10" t="s">
        <v>1</v>
      </c>
      <c r="C4" s="23">
        <v>199</v>
      </c>
      <c r="D4" s="23">
        <v>189</v>
      </c>
      <c r="E4" s="23">
        <v>177</v>
      </c>
      <c r="F4" s="23">
        <v>171</v>
      </c>
      <c r="G4" s="23">
        <v>159</v>
      </c>
      <c r="H4" s="23">
        <v>149</v>
      </c>
    </row>
    <row r="5" spans="2:8" ht="18.75" x14ac:dyDescent="0.25">
      <c r="B5" s="10" t="s">
        <v>2</v>
      </c>
      <c r="C5" s="23">
        <v>63</v>
      </c>
      <c r="D5" s="23">
        <v>63</v>
      </c>
      <c r="E5" s="23">
        <v>63</v>
      </c>
      <c r="F5" s="23">
        <v>62</v>
      </c>
      <c r="G5" s="23">
        <v>57</v>
      </c>
      <c r="H5" s="23">
        <v>57</v>
      </c>
    </row>
    <row r="6" spans="2:8" ht="18.75" x14ac:dyDescent="0.25">
      <c r="B6" s="10" t="s">
        <v>3</v>
      </c>
      <c r="C6" s="24">
        <v>1</v>
      </c>
      <c r="D6" s="24">
        <v>1</v>
      </c>
      <c r="E6" s="24">
        <v>11</v>
      </c>
      <c r="F6" s="24">
        <v>49</v>
      </c>
      <c r="G6" s="24">
        <v>62</v>
      </c>
      <c r="H6" s="24">
        <v>117</v>
      </c>
    </row>
    <row r="7" spans="2:8" ht="18.75" x14ac:dyDescent="0.25">
      <c r="B7" s="10" t="s">
        <v>4</v>
      </c>
      <c r="C7" s="24">
        <v>343</v>
      </c>
      <c r="D7" s="24">
        <v>357</v>
      </c>
      <c r="E7" s="24">
        <v>466</v>
      </c>
      <c r="F7" s="24">
        <v>484</v>
      </c>
      <c r="G7" s="24">
        <v>425</v>
      </c>
      <c r="H7" s="24">
        <v>467</v>
      </c>
    </row>
    <row r="8" spans="2:8" ht="18.75" x14ac:dyDescent="0.25">
      <c r="B8" s="10" t="s">
        <v>5</v>
      </c>
      <c r="C8" s="24">
        <v>238</v>
      </c>
      <c r="D8" s="24">
        <v>237</v>
      </c>
      <c r="E8" s="24">
        <v>246</v>
      </c>
      <c r="F8" s="24">
        <v>217</v>
      </c>
      <c r="G8" s="24">
        <v>178</v>
      </c>
      <c r="H8" s="24">
        <v>160</v>
      </c>
    </row>
    <row r="9" spans="2:8" ht="18.75" x14ac:dyDescent="0.25">
      <c r="B9" s="10" t="s">
        <v>6</v>
      </c>
      <c r="C9" s="24">
        <v>132</v>
      </c>
      <c r="D9" s="24">
        <v>135</v>
      </c>
      <c r="E9" s="24">
        <v>134</v>
      </c>
      <c r="F9" s="24">
        <v>140</v>
      </c>
      <c r="G9" s="24">
        <v>137</v>
      </c>
      <c r="H9" s="24">
        <v>136</v>
      </c>
    </row>
    <row r="10" spans="2:8" ht="18.75" x14ac:dyDescent="0.25">
      <c r="B10" s="10" t="s">
        <v>7</v>
      </c>
      <c r="C10" s="24">
        <v>169</v>
      </c>
      <c r="D10" s="24">
        <v>190</v>
      </c>
      <c r="E10" s="24">
        <v>222</v>
      </c>
      <c r="F10" s="24">
        <v>228</v>
      </c>
      <c r="G10" s="24">
        <v>222</v>
      </c>
      <c r="H10" s="24">
        <v>220</v>
      </c>
    </row>
    <row r="11" spans="2:8" ht="18.75" x14ac:dyDescent="0.25">
      <c r="B11" s="10" t="s">
        <v>8</v>
      </c>
      <c r="C11" s="24">
        <v>166</v>
      </c>
      <c r="D11" s="24">
        <v>165</v>
      </c>
      <c r="E11" s="24">
        <v>170</v>
      </c>
      <c r="F11" s="24">
        <v>169</v>
      </c>
      <c r="G11" s="24">
        <v>185</v>
      </c>
      <c r="H11" s="24">
        <v>191</v>
      </c>
    </row>
    <row r="12" spans="2:8" ht="18.75" x14ac:dyDescent="0.25">
      <c r="B12" s="10" t="s">
        <v>9</v>
      </c>
      <c r="C12" s="24">
        <v>55</v>
      </c>
      <c r="D12" s="24">
        <v>56</v>
      </c>
      <c r="E12" s="24">
        <v>92</v>
      </c>
      <c r="F12" s="24">
        <v>94</v>
      </c>
      <c r="G12" s="24">
        <v>80</v>
      </c>
      <c r="H12" s="24">
        <v>87</v>
      </c>
    </row>
    <row r="13" spans="2:8" ht="18.75" x14ac:dyDescent="0.25">
      <c r="B13" s="10" t="s">
        <v>10</v>
      </c>
      <c r="C13" s="24">
        <v>281</v>
      </c>
      <c r="D13" s="24">
        <v>278</v>
      </c>
      <c r="E13" s="24">
        <v>280</v>
      </c>
      <c r="F13" s="24">
        <v>272</v>
      </c>
      <c r="G13" s="24">
        <v>253</v>
      </c>
      <c r="H13" s="24">
        <v>253</v>
      </c>
    </row>
    <row r="14" spans="2:8" ht="18.75" x14ac:dyDescent="0.25">
      <c r="B14" s="10" t="s">
        <v>11</v>
      </c>
      <c r="C14" s="24">
        <v>295</v>
      </c>
      <c r="D14" s="24">
        <v>273</v>
      </c>
      <c r="E14" s="24">
        <v>263</v>
      </c>
      <c r="F14" s="24">
        <v>244</v>
      </c>
      <c r="G14" s="24">
        <v>236</v>
      </c>
      <c r="H14" s="24">
        <v>237</v>
      </c>
    </row>
    <row r="15" spans="2:8" ht="18.75" x14ac:dyDescent="0.25">
      <c r="B15" s="10" t="s">
        <v>12</v>
      </c>
      <c r="C15" s="24">
        <v>170</v>
      </c>
      <c r="D15" s="24">
        <v>181</v>
      </c>
      <c r="E15" s="24">
        <v>196</v>
      </c>
      <c r="F15" s="24">
        <v>205</v>
      </c>
      <c r="G15" s="24">
        <v>213</v>
      </c>
      <c r="H15" s="24">
        <v>226</v>
      </c>
    </row>
    <row r="16" spans="2:8" ht="18.75" x14ac:dyDescent="0.25">
      <c r="B16" s="10" t="s">
        <v>13</v>
      </c>
      <c r="C16" s="24">
        <v>43</v>
      </c>
      <c r="D16" s="24">
        <v>41</v>
      </c>
      <c r="E16" s="24">
        <v>44</v>
      </c>
      <c r="F16" s="24">
        <v>44</v>
      </c>
      <c r="G16" s="24">
        <v>34</v>
      </c>
      <c r="H16" s="24">
        <v>35</v>
      </c>
    </row>
    <row r="17" spans="2:8" ht="18.75" x14ac:dyDescent="0.25">
      <c r="B17" s="10" t="s">
        <v>14</v>
      </c>
      <c r="C17" s="24">
        <v>111</v>
      </c>
      <c r="D17" s="24">
        <v>104</v>
      </c>
      <c r="E17" s="24">
        <v>115</v>
      </c>
      <c r="F17" s="24">
        <v>135</v>
      </c>
      <c r="G17" s="24">
        <v>102</v>
      </c>
      <c r="H17" s="24">
        <v>108</v>
      </c>
    </row>
    <row r="18" spans="2:8" ht="18.75" x14ac:dyDescent="0.25">
      <c r="B18" s="10" t="s">
        <v>15</v>
      </c>
      <c r="C18" s="18">
        <f>SUM(C4:C17)</f>
        <v>2266</v>
      </c>
      <c r="D18" s="18">
        <f t="shared" ref="D18:H18" si="0">SUM(D4:D17)</f>
        <v>2270</v>
      </c>
      <c r="E18" s="18">
        <f t="shared" si="0"/>
        <v>2479</v>
      </c>
      <c r="F18" s="18">
        <f t="shared" si="0"/>
        <v>2514</v>
      </c>
      <c r="G18" s="18">
        <f t="shared" si="0"/>
        <v>2343</v>
      </c>
      <c r="H18" s="18">
        <f t="shared" si="0"/>
        <v>2443</v>
      </c>
    </row>
    <row r="19" spans="2:8" ht="18.75" x14ac:dyDescent="0.25">
      <c r="B19" s="10" t="s">
        <v>16</v>
      </c>
      <c r="C19" s="15">
        <f t="shared" ref="C19:H19" si="1">AVERAGE(C4:C17)</f>
        <v>162</v>
      </c>
      <c r="D19" s="15">
        <f t="shared" si="1"/>
        <v>162</v>
      </c>
      <c r="E19" s="15">
        <f t="shared" si="1"/>
        <v>177</v>
      </c>
      <c r="F19" s="15">
        <f t="shared" si="1"/>
        <v>180</v>
      </c>
      <c r="G19" s="15">
        <f t="shared" si="1"/>
        <v>167</v>
      </c>
      <c r="H19" s="15">
        <f t="shared" si="1"/>
        <v>175</v>
      </c>
    </row>
    <row r="21" spans="2:8" ht="44.1" customHeight="1" x14ac:dyDescent="0.25">
      <c r="B21" s="29" t="s">
        <v>17</v>
      </c>
      <c r="C21" s="30"/>
      <c r="D21" s="30"/>
      <c r="E21" s="30"/>
      <c r="F21" s="30"/>
      <c r="G21" s="31"/>
    </row>
    <row r="22" spans="2:8" ht="19.5" x14ac:dyDescent="0.25">
      <c r="B22" s="2"/>
      <c r="C22" s="2">
        <v>2020</v>
      </c>
      <c r="D22" s="2">
        <v>2021</v>
      </c>
      <c r="E22" s="2">
        <v>2022</v>
      </c>
      <c r="F22" s="2">
        <v>2023</v>
      </c>
      <c r="G22" s="2">
        <v>2024</v>
      </c>
    </row>
    <row r="23" spans="2:8" ht="18.75" x14ac:dyDescent="0.25">
      <c r="B23" s="10" t="s">
        <v>1</v>
      </c>
      <c r="C23" s="25">
        <f t="shared" ref="C23:G37" si="2">(D4-C4)/C4</f>
        <v>-0.05</v>
      </c>
      <c r="D23" s="25">
        <f t="shared" si="2"/>
        <v>-6.3E-2</v>
      </c>
      <c r="E23" s="25">
        <f t="shared" si="2"/>
        <v>-3.4000000000000002E-2</v>
      </c>
      <c r="F23" s="25">
        <f t="shared" si="2"/>
        <v>-7.0000000000000007E-2</v>
      </c>
      <c r="G23" s="25">
        <f t="shared" si="2"/>
        <v>-6.3E-2</v>
      </c>
    </row>
    <row r="24" spans="2:8" ht="18.75" x14ac:dyDescent="0.25">
      <c r="B24" s="10" t="s">
        <v>2</v>
      </c>
      <c r="C24" s="25">
        <f t="shared" si="2"/>
        <v>0</v>
      </c>
      <c r="D24" s="25">
        <f t="shared" si="2"/>
        <v>0</v>
      </c>
      <c r="E24" s="25">
        <f t="shared" si="2"/>
        <v>-1.6E-2</v>
      </c>
      <c r="F24" s="25">
        <f t="shared" si="2"/>
        <v>-8.1000000000000003E-2</v>
      </c>
      <c r="G24" s="25">
        <f t="shared" si="2"/>
        <v>0</v>
      </c>
    </row>
    <row r="25" spans="2:8" ht="18.75" x14ac:dyDescent="0.25">
      <c r="B25" s="10" t="s">
        <v>3</v>
      </c>
      <c r="C25" s="25">
        <f t="shared" si="2"/>
        <v>0</v>
      </c>
      <c r="D25" s="25">
        <f t="shared" si="2"/>
        <v>10</v>
      </c>
      <c r="E25" s="25">
        <f t="shared" si="2"/>
        <v>3.4550000000000001</v>
      </c>
      <c r="F25" s="25">
        <f t="shared" si="2"/>
        <v>0.26500000000000001</v>
      </c>
      <c r="G25" s="25">
        <f t="shared" si="2"/>
        <v>0.88700000000000001</v>
      </c>
      <c r="H25" t="s">
        <v>18</v>
      </c>
    </row>
    <row r="26" spans="2:8" ht="18.75" x14ac:dyDescent="0.25">
      <c r="B26" s="10" t="s">
        <v>4</v>
      </c>
      <c r="C26" s="25">
        <f t="shared" si="2"/>
        <v>4.1000000000000002E-2</v>
      </c>
      <c r="D26" s="25">
        <f t="shared" si="2"/>
        <v>0.30499999999999999</v>
      </c>
      <c r="E26" s="25">
        <f t="shared" si="2"/>
        <v>3.9E-2</v>
      </c>
      <c r="F26" s="25">
        <f t="shared" si="2"/>
        <v>-0.122</v>
      </c>
      <c r="G26" s="25">
        <f t="shared" si="2"/>
        <v>9.9000000000000005E-2</v>
      </c>
    </row>
    <row r="27" spans="2:8" ht="18.75" x14ac:dyDescent="0.25">
      <c r="B27" s="21" t="s">
        <v>5</v>
      </c>
      <c r="C27" s="25">
        <f t="shared" si="2"/>
        <v>-4.0000000000000001E-3</v>
      </c>
      <c r="D27" s="25">
        <f t="shared" si="2"/>
        <v>3.7999999999999999E-2</v>
      </c>
      <c r="E27" s="25">
        <f t="shared" si="2"/>
        <v>-0.11799999999999999</v>
      </c>
      <c r="F27" s="25">
        <f t="shared" si="2"/>
        <v>-0.18</v>
      </c>
      <c r="G27" s="25">
        <f t="shared" si="2"/>
        <v>-0.10100000000000001</v>
      </c>
    </row>
    <row r="28" spans="2:8" ht="18.75" x14ac:dyDescent="0.25">
      <c r="B28" s="10" t="s">
        <v>6</v>
      </c>
      <c r="C28" s="25">
        <f t="shared" si="2"/>
        <v>2.3E-2</v>
      </c>
      <c r="D28" s="25">
        <f t="shared" si="2"/>
        <v>-7.0000000000000001E-3</v>
      </c>
      <c r="E28" s="25">
        <f t="shared" si="2"/>
        <v>4.4999999999999998E-2</v>
      </c>
      <c r="F28" s="25">
        <f t="shared" si="2"/>
        <v>-2.1000000000000001E-2</v>
      </c>
      <c r="G28" s="25">
        <f t="shared" si="2"/>
        <v>-7.0000000000000001E-3</v>
      </c>
    </row>
    <row r="29" spans="2:8" ht="18.75" x14ac:dyDescent="0.25">
      <c r="B29" s="10" t="s">
        <v>7</v>
      </c>
      <c r="C29" s="25">
        <f t="shared" si="2"/>
        <v>0.124</v>
      </c>
      <c r="D29" s="25">
        <f t="shared" si="2"/>
        <v>0.16800000000000001</v>
      </c>
      <c r="E29" s="25">
        <f t="shared" si="2"/>
        <v>2.7E-2</v>
      </c>
      <c r="F29" s="25">
        <f t="shared" si="2"/>
        <v>-2.5999999999999999E-2</v>
      </c>
      <c r="G29" s="25">
        <f t="shared" si="2"/>
        <v>-8.9999999999999993E-3</v>
      </c>
    </row>
    <row r="30" spans="2:8" ht="18.75" x14ac:dyDescent="0.25">
      <c r="B30" s="10" t="s">
        <v>8</v>
      </c>
      <c r="C30" s="25">
        <f t="shared" si="2"/>
        <v>-6.0000000000000001E-3</v>
      </c>
      <c r="D30" s="25">
        <f t="shared" si="2"/>
        <v>0.03</v>
      </c>
      <c r="E30" s="25">
        <f t="shared" si="2"/>
        <v>-6.0000000000000001E-3</v>
      </c>
      <c r="F30" s="25">
        <f t="shared" si="2"/>
        <v>9.5000000000000001E-2</v>
      </c>
      <c r="G30" s="25">
        <f t="shared" si="2"/>
        <v>3.2000000000000001E-2</v>
      </c>
    </row>
    <row r="31" spans="2:8" ht="18.75" x14ac:dyDescent="0.25">
      <c r="B31" s="10" t="s">
        <v>9</v>
      </c>
      <c r="C31" s="25">
        <f t="shared" si="2"/>
        <v>1.7999999999999999E-2</v>
      </c>
      <c r="D31" s="25">
        <f t="shared" si="2"/>
        <v>0.64300000000000002</v>
      </c>
      <c r="E31" s="25">
        <f t="shared" si="2"/>
        <v>2.1999999999999999E-2</v>
      </c>
      <c r="F31" s="25">
        <f t="shared" si="2"/>
        <v>-0.14899999999999999</v>
      </c>
      <c r="G31" s="25">
        <f t="shared" si="2"/>
        <v>8.7999999999999995E-2</v>
      </c>
    </row>
    <row r="32" spans="2:8" ht="18.75" x14ac:dyDescent="0.25">
      <c r="B32" s="10" t="s">
        <v>10</v>
      </c>
      <c r="C32" s="25">
        <f t="shared" si="2"/>
        <v>-1.0999999999999999E-2</v>
      </c>
      <c r="D32" s="25">
        <f t="shared" si="2"/>
        <v>7.0000000000000001E-3</v>
      </c>
      <c r="E32" s="25">
        <f t="shared" si="2"/>
        <v>-2.9000000000000001E-2</v>
      </c>
      <c r="F32" s="25">
        <f t="shared" si="2"/>
        <v>-7.0000000000000007E-2</v>
      </c>
      <c r="G32" s="25">
        <f t="shared" si="2"/>
        <v>0</v>
      </c>
    </row>
    <row r="33" spans="2:7" ht="18.75" x14ac:dyDescent="0.25">
      <c r="B33" s="10" t="s">
        <v>11</v>
      </c>
      <c r="C33" s="25">
        <f t="shared" si="2"/>
        <v>-7.4999999999999997E-2</v>
      </c>
      <c r="D33" s="25">
        <f t="shared" si="2"/>
        <v>-3.6999999999999998E-2</v>
      </c>
      <c r="E33" s="25">
        <f t="shared" si="2"/>
        <v>-7.1999999999999995E-2</v>
      </c>
      <c r="F33" s="25">
        <f t="shared" si="2"/>
        <v>-3.3000000000000002E-2</v>
      </c>
      <c r="G33" s="25">
        <f t="shared" si="2"/>
        <v>4.0000000000000001E-3</v>
      </c>
    </row>
    <row r="34" spans="2:7" ht="18.75" x14ac:dyDescent="0.25">
      <c r="B34" s="10" t="s">
        <v>12</v>
      </c>
      <c r="C34" s="25">
        <f t="shared" si="2"/>
        <v>6.5000000000000002E-2</v>
      </c>
      <c r="D34" s="25">
        <f t="shared" si="2"/>
        <v>8.3000000000000004E-2</v>
      </c>
      <c r="E34" s="25">
        <f t="shared" si="2"/>
        <v>4.5999999999999999E-2</v>
      </c>
      <c r="F34" s="25">
        <f t="shared" si="2"/>
        <v>3.9E-2</v>
      </c>
      <c r="G34" s="25">
        <f t="shared" si="2"/>
        <v>6.0999999999999999E-2</v>
      </c>
    </row>
    <row r="35" spans="2:7" ht="18.75" x14ac:dyDescent="0.25">
      <c r="B35" s="10" t="s">
        <v>13</v>
      </c>
      <c r="C35" s="25">
        <f t="shared" si="2"/>
        <v>-4.7E-2</v>
      </c>
      <c r="D35" s="25">
        <f t="shared" si="2"/>
        <v>7.2999999999999995E-2</v>
      </c>
      <c r="E35" s="25">
        <f t="shared" si="2"/>
        <v>0</v>
      </c>
      <c r="F35" s="25">
        <f t="shared" si="2"/>
        <v>-0.22700000000000001</v>
      </c>
      <c r="G35" s="25">
        <f t="shared" si="2"/>
        <v>2.9000000000000001E-2</v>
      </c>
    </row>
    <row r="36" spans="2:7" ht="18.75" x14ac:dyDescent="0.25">
      <c r="B36" s="10" t="s">
        <v>14</v>
      </c>
      <c r="C36" s="25">
        <f t="shared" si="2"/>
        <v>-6.3E-2</v>
      </c>
      <c r="D36" s="25">
        <f t="shared" si="2"/>
        <v>0.106</v>
      </c>
      <c r="E36" s="25">
        <f t="shared" si="2"/>
        <v>0.17399999999999999</v>
      </c>
      <c r="F36" s="25">
        <f t="shared" si="2"/>
        <v>-0.24399999999999999</v>
      </c>
      <c r="G36" s="25">
        <f t="shared" si="2"/>
        <v>5.8999999999999997E-2</v>
      </c>
    </row>
    <row r="37" spans="2:7" ht="18.75" x14ac:dyDescent="0.25">
      <c r="B37" s="10" t="s">
        <v>15</v>
      </c>
      <c r="C37" s="19">
        <f t="shared" si="2"/>
        <v>2E-3</v>
      </c>
      <c r="D37" s="19">
        <f t="shared" si="2"/>
        <v>9.1999999999999998E-2</v>
      </c>
      <c r="E37" s="19">
        <f t="shared" si="2"/>
        <v>1.4E-2</v>
      </c>
      <c r="F37" s="19">
        <f t="shared" si="2"/>
        <v>-6.8000000000000005E-2</v>
      </c>
      <c r="G37" s="19">
        <f t="shared" si="2"/>
        <v>4.2999999999999997E-2</v>
      </c>
    </row>
    <row r="39" spans="2:7" ht="30" customHeight="1" x14ac:dyDescent="0.25">
      <c r="B39" s="29" t="s">
        <v>19</v>
      </c>
      <c r="C39" s="30"/>
      <c r="D39" s="30"/>
      <c r="E39" s="30"/>
      <c r="F39" s="30"/>
      <c r="G39" s="31"/>
    </row>
    <row r="40" spans="2:7" ht="19.5" x14ac:dyDescent="0.25">
      <c r="B40" s="2"/>
      <c r="C40" s="2">
        <v>2020</v>
      </c>
      <c r="D40" s="2">
        <v>2021</v>
      </c>
      <c r="E40" s="2">
        <v>2022</v>
      </c>
      <c r="F40" s="2">
        <v>2023</v>
      </c>
      <c r="G40" s="2">
        <v>2024</v>
      </c>
    </row>
    <row r="41" spans="2:7" ht="18.75" x14ac:dyDescent="0.25">
      <c r="B41" s="10" t="s">
        <v>20</v>
      </c>
      <c r="C41" s="18">
        <f>D18</f>
        <v>2270</v>
      </c>
      <c r="D41" s="10">
        <f>E18</f>
        <v>2479</v>
      </c>
      <c r="E41" s="10">
        <f>F18</f>
        <v>2514</v>
      </c>
      <c r="F41" s="10">
        <f>G18</f>
        <v>2343</v>
      </c>
      <c r="G41" s="10">
        <f>H18</f>
        <v>2443</v>
      </c>
    </row>
    <row r="42" spans="2:7" ht="18.75" x14ac:dyDescent="0.25">
      <c r="B42" s="10" t="s">
        <v>21</v>
      </c>
      <c r="C42" s="18">
        <f>D18-C18</f>
        <v>4</v>
      </c>
      <c r="D42" s="18">
        <f t="shared" ref="D42:G42" si="3">E18-D18</f>
        <v>209</v>
      </c>
      <c r="E42" s="18">
        <f t="shared" si="3"/>
        <v>35</v>
      </c>
      <c r="F42" s="18">
        <f t="shared" si="3"/>
        <v>-171</v>
      </c>
      <c r="G42" s="18">
        <f t="shared" si="3"/>
        <v>100</v>
      </c>
    </row>
    <row r="43" spans="2:7" ht="18.75" x14ac:dyDescent="0.25">
      <c r="B43" s="10" t="s">
        <v>22</v>
      </c>
      <c r="C43" s="22">
        <f>C37</f>
        <v>2E-3</v>
      </c>
      <c r="D43" s="22">
        <f t="shared" ref="D43:G43" si="4">D37</f>
        <v>9.1999999999999998E-2</v>
      </c>
      <c r="E43" s="22">
        <f t="shared" si="4"/>
        <v>1.4E-2</v>
      </c>
      <c r="F43" s="22">
        <f t="shared" si="4"/>
        <v>-6.8000000000000005E-2</v>
      </c>
      <c r="G43" s="22">
        <f t="shared" si="4"/>
        <v>4.2999999999999997E-2</v>
      </c>
    </row>
    <row r="44" spans="2:7" x14ac:dyDescent="0.25">
      <c r="B44" t="s">
        <v>23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</row>
  </sheetData>
  <mergeCells count="3">
    <mergeCell ref="B2:H2"/>
    <mergeCell ref="B21:G21"/>
    <mergeCell ref="B39:G39"/>
  </mergeCells>
  <conditionalFormatting sqref="C23:G37">
    <cfRule type="colorScale" priority="1">
      <colorScale>
        <cfvo type="num" val="-0.1"/>
        <cfvo type="num" val="0"/>
        <cfvo type="num" val="0.1"/>
        <color rgb="FFF8696B"/>
        <color theme="9" tint="0.79998168889431442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59766-62F5-4F8B-94EA-942198236A87}">
  <dimension ref="B2:D19"/>
  <sheetViews>
    <sheetView workbookViewId="0">
      <selection activeCell="D17" sqref="D17"/>
    </sheetView>
  </sheetViews>
  <sheetFormatPr defaultRowHeight="15" x14ac:dyDescent="0.25"/>
  <cols>
    <col min="2" max="2" width="35.85546875" bestFit="1" customWidth="1"/>
    <col min="3" max="3" width="20.140625" customWidth="1"/>
    <col min="4" max="4" width="17.5703125" customWidth="1"/>
  </cols>
  <sheetData>
    <row r="2" spans="2:4" ht="20.25" x14ac:dyDescent="0.25">
      <c r="B2" s="32" t="s">
        <v>24</v>
      </c>
      <c r="C2" s="32"/>
      <c r="D2" s="32"/>
    </row>
    <row r="3" spans="2:4" ht="19.5" x14ac:dyDescent="0.25">
      <c r="B3" s="2"/>
      <c r="C3" s="2">
        <v>2022</v>
      </c>
      <c r="D3" s="2">
        <v>2023</v>
      </c>
    </row>
    <row r="4" spans="2:4" ht="18.75" x14ac:dyDescent="0.25">
      <c r="B4" s="10" t="s">
        <v>1</v>
      </c>
      <c r="C4" s="23">
        <f>'Kurekss SIA'!C31</f>
        <v>2009893</v>
      </c>
      <c r="D4" s="23">
        <f>'Kurekss SIA'!D31</f>
        <v>-704359</v>
      </c>
    </row>
    <row r="5" spans="2:4" ht="18.75" x14ac:dyDescent="0.25">
      <c r="B5" s="10" t="s">
        <v>2</v>
      </c>
      <c r="C5" s="23">
        <f>'Piebalgas SIA '!C31</f>
        <v>459276</v>
      </c>
      <c r="D5" s="23">
        <f>'Piebalgas SIA '!D31</f>
        <v>-360808</v>
      </c>
    </row>
    <row r="6" spans="2:4" ht="18.75" x14ac:dyDescent="0.25">
      <c r="B6" s="10" t="s">
        <v>3</v>
      </c>
      <c r="C6" s="23">
        <f>'Pata Jēkabpils SIA'!C31</f>
        <v>128258</v>
      </c>
      <c r="D6" s="23">
        <f>'Pata Jēkabpils SIA'!D31</f>
        <v>-8089381</v>
      </c>
    </row>
    <row r="7" spans="2:4" ht="18.75" x14ac:dyDescent="0.25">
      <c r="B7" s="10" t="s">
        <v>4</v>
      </c>
      <c r="C7" s="23">
        <f>'Gaujas Koks SIA'!C31</f>
        <v>24593900</v>
      </c>
      <c r="D7" s="23">
        <f>'Gaujas Koks SIA'!D31</f>
        <v>193076</v>
      </c>
    </row>
    <row r="8" spans="2:4" ht="18.75" x14ac:dyDescent="0.25">
      <c r="B8" s="10" t="s">
        <v>5</v>
      </c>
      <c r="C8" s="23">
        <f>'Pata Saldus SIA'!C31</f>
        <v>1759773</v>
      </c>
      <c r="D8" s="23">
        <f>'Pata Saldus SIA'!D31</f>
        <v>-5519053</v>
      </c>
    </row>
    <row r="9" spans="2:4" ht="18.75" x14ac:dyDescent="0.25">
      <c r="B9" s="10" t="s">
        <v>6</v>
      </c>
      <c r="C9" s="23">
        <f>'Vika Wood SIA'!C32</f>
        <v>18497438</v>
      </c>
      <c r="D9" s="23">
        <f>'Vika Wood SIA'!D32</f>
        <v>-2740099</v>
      </c>
    </row>
    <row r="10" spans="2:4" ht="18.75" x14ac:dyDescent="0.25">
      <c r="B10" s="10" t="s">
        <v>7</v>
      </c>
      <c r="C10" s="23">
        <f>'Stora Enso Latvija AS'!C31</f>
        <v>4280535</v>
      </c>
      <c r="D10" s="23">
        <f>'Stora Enso Latvija AS'!D31</f>
        <v>11356868</v>
      </c>
    </row>
    <row r="11" spans="2:4" ht="18.75" x14ac:dyDescent="0.25">
      <c r="B11" s="10" t="s">
        <v>8</v>
      </c>
      <c r="C11" s="23">
        <f>'BSW Latvia SIA'!C31</f>
        <v>-1715248</v>
      </c>
      <c r="D11" s="23">
        <f>'BSW Latvia SIA'!D31</f>
        <v>3637933</v>
      </c>
    </row>
    <row r="12" spans="2:4" ht="18.75" x14ac:dyDescent="0.25">
      <c r="B12" s="10" t="s">
        <v>9</v>
      </c>
      <c r="C12" s="23">
        <f>'Smiltene Impex SIA'!C31</f>
        <v>41192</v>
      </c>
      <c r="D12" s="23">
        <f>'Smiltene Impex SIA'!D31</f>
        <v>-1617148</v>
      </c>
    </row>
    <row r="13" spans="2:4" ht="18.75" x14ac:dyDescent="0.25">
      <c r="B13" s="10" t="s">
        <v>10</v>
      </c>
      <c r="C13" s="23">
        <f>'AKZ SIA'!C31</f>
        <v>19614940</v>
      </c>
      <c r="D13" s="23">
        <f>'AKZ SIA'!D31</f>
        <v>4968899</v>
      </c>
    </row>
    <row r="14" spans="2:4" ht="18.75" x14ac:dyDescent="0.25">
      <c r="B14" s="10" t="s">
        <v>11</v>
      </c>
      <c r="C14" s="23">
        <f>'Rettenmeier Baltic Timber SIA'!C31</f>
        <v>12680568</v>
      </c>
      <c r="D14" s="23">
        <f>'Rettenmeier Baltic Timber SIA'!D31</f>
        <v>-3155151</v>
      </c>
    </row>
    <row r="15" spans="2:4" ht="18.75" x14ac:dyDescent="0.25">
      <c r="B15" s="10" t="s">
        <v>12</v>
      </c>
      <c r="C15" s="23">
        <f>'SIA Krauzers'!C31</f>
        <v>3314732</v>
      </c>
      <c r="D15" s="23">
        <f>'SIA Krauzers'!D31</f>
        <v>133533</v>
      </c>
    </row>
    <row r="16" spans="2:4" ht="18.75" x14ac:dyDescent="0.25">
      <c r="B16" s="10" t="s">
        <v>13</v>
      </c>
      <c r="C16" s="23">
        <f>'SIA Silpec'!C31</f>
        <v>1333016</v>
      </c>
      <c r="D16" s="23">
        <f>'SIA Silpec'!D31</f>
        <v>718919</v>
      </c>
    </row>
    <row r="17" spans="2:4" ht="18.75" x14ac:dyDescent="0.25">
      <c r="B17" s="10" t="s">
        <v>14</v>
      </c>
      <c r="C17" s="23">
        <f>'SIA Vudlande'!C31</f>
        <v>10093</v>
      </c>
      <c r="D17" s="23">
        <f>'SIA Vudlande'!D31</f>
        <v>-5479309</v>
      </c>
    </row>
    <row r="18" spans="2:4" ht="18.75" x14ac:dyDescent="0.25">
      <c r="B18" s="10" t="s">
        <v>15</v>
      </c>
      <c r="C18" s="18">
        <f>SUM(C4:C14)</f>
        <v>82350525</v>
      </c>
      <c r="D18" s="18">
        <f>SUM(D4:D14)</f>
        <v>-2029223</v>
      </c>
    </row>
    <row r="19" spans="2:4" ht="18.75" x14ac:dyDescent="0.25">
      <c r="B19" s="10" t="s">
        <v>16</v>
      </c>
      <c r="C19" s="18">
        <f>AVERAGE(C4:C14)</f>
        <v>7486411</v>
      </c>
      <c r="D19" s="18">
        <f>AVERAGE(D4:D14)</f>
        <v>-184475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B9F10-4B91-40CC-AAFE-B1B9C0EA3A76}">
  <sheetPr>
    <pageSetUpPr fitToPage="1"/>
  </sheetPr>
  <dimension ref="B2:I42"/>
  <sheetViews>
    <sheetView tabSelected="1" topLeftCell="B8" zoomScale="60" zoomScaleNormal="60" workbookViewId="0">
      <selection activeCell="D8" sqref="D8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1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9432802</v>
      </c>
      <c r="D4" s="13">
        <f>D30+D28+D29</f>
        <v>4976274</v>
      </c>
      <c r="E4" s="13">
        <f t="shared" ref="E4:E31" si="0">D4-C4</f>
        <v>-4456528</v>
      </c>
      <c r="F4" s="14">
        <f>E4/C4</f>
        <v>-0.47249999999999998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2.7</v>
      </c>
      <c r="D5" s="13">
        <f>D14/D4</f>
        <v>4.51</v>
      </c>
      <c r="E5" s="13">
        <f t="shared" si="0"/>
        <v>1.81</v>
      </c>
      <c r="F5" s="14">
        <f t="shared" ref="F5:F33" si="1">E5/C5</f>
        <v>0.6704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3.72</v>
      </c>
      <c r="D6" s="13">
        <f>D11/D12</f>
        <v>5.95</v>
      </c>
      <c r="E6" s="13">
        <f t="shared" si="0"/>
        <v>2.23</v>
      </c>
      <c r="F6" s="14">
        <f t="shared" si="1"/>
        <v>0.59950000000000003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0.56000000000000005</v>
      </c>
      <c r="D7" s="13">
        <f>D14/D16</f>
        <v>0.43</v>
      </c>
      <c r="E7" s="13">
        <f t="shared" si="0"/>
        <v>-0.13</v>
      </c>
      <c r="F7" s="14">
        <f t="shared" si="1"/>
        <v>-0.2321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7</v>
      </c>
      <c r="D8" s="13">
        <f>D4/(D28+D27+D26)</f>
        <v>2.39</v>
      </c>
      <c r="E8" s="13">
        <f t="shared" si="0"/>
        <v>-4.6100000000000003</v>
      </c>
      <c r="F8" s="14">
        <f t="shared" si="1"/>
        <v>-0.65859999999999996</v>
      </c>
      <c r="G8" s="10" t="s">
        <v>31</v>
      </c>
      <c r="H8" s="15">
        <f>IF(D8&lt;1.2,0,1)</f>
        <v>1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2.72</v>
      </c>
      <c r="D9" s="13">
        <f>(0.717*((D11-D12))/D15)+(0.847*(D32/D15))+(3.107*((D30+D28)/D15))+(0.42*(D16/(D12+D13)))+(0.998*(D19/D15))</f>
        <v>2.34</v>
      </c>
      <c r="E9" s="13">
        <f t="shared" si="0"/>
        <v>-0.38</v>
      </c>
      <c r="F9" s="14">
        <f t="shared" si="1"/>
        <v>-0.13969999999999999</v>
      </c>
      <c r="G9" s="10" t="s">
        <v>34</v>
      </c>
      <c r="H9" s="15">
        <f>IF(D9&lt;1.23,0,IF(D9&lt;2.9,1,2))</f>
        <v>1</v>
      </c>
    </row>
    <row r="10" spans="2:9" x14ac:dyDescent="0.25">
      <c r="B10" s="10" t="s">
        <v>38</v>
      </c>
      <c r="C10" s="13">
        <f>(C24+C18)/C12</f>
        <v>2.46</v>
      </c>
      <c r="D10" s="13">
        <f>(D24+D18)/D12</f>
        <v>3.76</v>
      </c>
      <c r="E10" s="13">
        <f t="shared" si="0"/>
        <v>1.3</v>
      </c>
      <c r="F10" s="14">
        <f t="shared" si="1"/>
        <v>0.52849999999999997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38610484</v>
      </c>
      <c r="D11" s="4">
        <v>36872013</v>
      </c>
      <c r="E11" s="17">
        <f t="shared" si="0"/>
        <v>-1738471</v>
      </c>
      <c r="F11" s="27">
        <f t="shared" si="1"/>
        <v>-4.4999999999999998E-2</v>
      </c>
      <c r="G11" s="9"/>
      <c r="H11" s="9"/>
    </row>
    <row r="12" spans="2:9" outlineLevel="1" x14ac:dyDescent="0.25">
      <c r="B12" s="12" t="s">
        <v>40</v>
      </c>
      <c r="C12" s="4">
        <v>10387165</v>
      </c>
      <c r="D12" s="4">
        <v>6195864</v>
      </c>
      <c r="E12" s="17">
        <f t="shared" si="0"/>
        <v>-4191301</v>
      </c>
      <c r="F12" s="27">
        <f t="shared" si="1"/>
        <v>-0.40350000000000003</v>
      </c>
      <c r="G12" s="9"/>
      <c r="H12" s="9"/>
    </row>
    <row r="13" spans="2:9" outlineLevel="1" x14ac:dyDescent="0.25">
      <c r="B13" s="12" t="s">
        <v>41</v>
      </c>
      <c r="C13" s="4">
        <v>15100462</v>
      </c>
      <c r="D13" s="4">
        <v>16262149</v>
      </c>
      <c r="E13" s="17">
        <f t="shared" si="0"/>
        <v>1161687</v>
      </c>
      <c r="F13" s="27">
        <f t="shared" si="1"/>
        <v>7.6899999999999996E-2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f>C12+C13</f>
        <v>25487627</v>
      </c>
      <c r="D14" s="4">
        <f>D12+D13</f>
        <v>22458013</v>
      </c>
      <c r="E14" s="17">
        <f t="shared" si="0"/>
        <v>-3029614</v>
      </c>
      <c r="F14" s="27">
        <f t="shared" si="1"/>
        <v>-0.11890000000000001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70833651</v>
      </c>
      <c r="D15" s="4">
        <v>74293343</v>
      </c>
      <c r="E15" s="17">
        <f t="shared" si="0"/>
        <v>3459692</v>
      </c>
      <c r="F15" s="27">
        <f t="shared" si="1"/>
        <v>4.8800000000000003E-2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45346024</v>
      </c>
      <c r="D16" s="4">
        <v>51835330</v>
      </c>
      <c r="E16" s="17">
        <f t="shared" si="0"/>
        <v>6489306</v>
      </c>
      <c r="F16" s="27">
        <f t="shared" si="1"/>
        <v>0.1431</v>
      </c>
      <c r="G16" s="33" t="s">
        <v>48</v>
      </c>
      <c r="H16" s="33"/>
      <c r="I16" s="8">
        <f>SUM(H4:H10)</f>
        <v>7</v>
      </c>
    </row>
    <row r="17" spans="2:8" outlineLevel="1" x14ac:dyDescent="0.25">
      <c r="B17" s="12" t="s">
        <v>49</v>
      </c>
      <c r="C17" s="4">
        <v>76065681</v>
      </c>
      <c r="D17" s="4">
        <v>77023524</v>
      </c>
      <c r="E17" s="17">
        <f t="shared" si="0"/>
        <v>957843</v>
      </c>
      <c r="F17" s="27">
        <f t="shared" si="1"/>
        <v>1.26E-2</v>
      </c>
      <c r="G17" s="9"/>
    </row>
    <row r="18" spans="2:8" outlineLevel="1" x14ac:dyDescent="0.25">
      <c r="B18" s="11" t="s">
        <v>50</v>
      </c>
      <c r="C18" s="4">
        <v>6509632</v>
      </c>
      <c r="D18" s="5">
        <v>7486195</v>
      </c>
      <c r="E18" s="17">
        <f t="shared" si="0"/>
        <v>976563</v>
      </c>
      <c r="F18" s="27">
        <f t="shared" si="1"/>
        <v>0.15</v>
      </c>
      <c r="G18" s="9"/>
      <c r="H18" s="9"/>
    </row>
    <row r="19" spans="2:8" outlineLevel="1" x14ac:dyDescent="0.25">
      <c r="B19" s="11" t="s">
        <v>51</v>
      </c>
      <c r="C19" s="4">
        <v>89425807</v>
      </c>
      <c r="D19" s="4">
        <v>62659444</v>
      </c>
      <c r="E19" s="17">
        <f t="shared" si="0"/>
        <v>-26766363</v>
      </c>
      <c r="F19" s="27">
        <f t="shared" si="1"/>
        <v>-0.29930000000000001</v>
      </c>
      <c r="G19" s="9"/>
      <c r="H19" s="9"/>
    </row>
    <row r="20" spans="2:8" outlineLevel="1" x14ac:dyDescent="0.25">
      <c r="B20" s="12" t="s">
        <v>52</v>
      </c>
      <c r="C20" s="4">
        <v>74203227</v>
      </c>
      <c r="D20" s="4">
        <v>62790010</v>
      </c>
      <c r="E20" s="17">
        <f t="shared" si="0"/>
        <v>-11413217</v>
      </c>
      <c r="F20" s="27">
        <f t="shared" si="1"/>
        <v>-0.15379999999999999</v>
      </c>
      <c r="G20" s="9"/>
      <c r="H20" s="9"/>
    </row>
    <row r="21" spans="2:8" outlineLevel="1" x14ac:dyDescent="0.25">
      <c r="B21" s="11" t="s">
        <v>53</v>
      </c>
      <c r="C21" s="4">
        <v>15222580</v>
      </c>
      <c r="D21" s="4">
        <v>-130566</v>
      </c>
      <c r="E21" s="17">
        <f t="shared" si="0"/>
        <v>-15353146</v>
      </c>
      <c r="F21" s="27">
        <f t="shared" si="1"/>
        <v>-1.0085999999999999</v>
      </c>
      <c r="G21" s="9"/>
      <c r="H21" s="9"/>
    </row>
    <row r="22" spans="2:8" outlineLevel="1" x14ac:dyDescent="0.25">
      <c r="B22" s="11" t="s">
        <v>54</v>
      </c>
      <c r="C22" s="4">
        <v>2738552</v>
      </c>
      <c r="D22" s="4">
        <v>2064473</v>
      </c>
      <c r="E22" s="17">
        <f t="shared" si="0"/>
        <v>-674079</v>
      </c>
      <c r="F22" s="27">
        <f t="shared" si="1"/>
        <v>-0.24610000000000001</v>
      </c>
      <c r="G22" s="9"/>
      <c r="H22" s="9"/>
    </row>
    <row r="23" spans="2:8" outlineLevel="1" x14ac:dyDescent="0.25">
      <c r="B23" s="11" t="s">
        <v>55</v>
      </c>
      <c r="C23" s="4">
        <v>1078843</v>
      </c>
      <c r="D23" s="4">
        <v>1573412</v>
      </c>
      <c r="E23" s="17">
        <f t="shared" si="0"/>
        <v>494569</v>
      </c>
      <c r="F23" s="27">
        <f t="shared" si="1"/>
        <v>0.45839999999999997</v>
      </c>
      <c r="G23" s="9"/>
      <c r="H23" s="9"/>
    </row>
    <row r="24" spans="2:8" outlineLevel="1" x14ac:dyDescent="0.25">
      <c r="B24" s="11" t="s">
        <v>56</v>
      </c>
      <c r="C24" s="4">
        <v>19075060</v>
      </c>
      <c r="D24" s="4">
        <v>15837655</v>
      </c>
      <c r="E24" s="17">
        <f t="shared" si="0"/>
        <v>-3237405</v>
      </c>
      <c r="F24" s="27">
        <f t="shared" si="1"/>
        <v>-0.16969999999999999</v>
      </c>
      <c r="G24" s="9"/>
      <c r="H24" s="9"/>
    </row>
    <row r="25" spans="2:8" outlineLevel="1" x14ac:dyDescent="0.25">
      <c r="B25" s="11" t="s">
        <v>57</v>
      </c>
      <c r="C25" s="4">
        <v>1270041</v>
      </c>
      <c r="D25" s="4">
        <v>1469649</v>
      </c>
      <c r="E25" s="17">
        <f t="shared" si="0"/>
        <v>199608</v>
      </c>
      <c r="F25" s="27">
        <f t="shared" si="1"/>
        <v>0.15720000000000001</v>
      </c>
      <c r="G25" s="9"/>
      <c r="H25" s="9"/>
    </row>
    <row r="26" spans="2:8" outlineLevel="1" x14ac:dyDescent="0.25">
      <c r="B26" s="11" t="s">
        <v>58</v>
      </c>
      <c r="C26" s="4">
        <v>1119750</v>
      </c>
      <c r="D26" s="4">
        <v>1958063</v>
      </c>
      <c r="E26" s="17">
        <f t="shared" si="0"/>
        <v>838313</v>
      </c>
      <c r="F26" s="27">
        <f t="shared" si="1"/>
        <v>0.74870000000000003</v>
      </c>
      <c r="G26" s="9"/>
      <c r="H26" s="9"/>
    </row>
    <row r="27" spans="2:8" outlineLevel="1" x14ac:dyDescent="0.25">
      <c r="B27" s="11" t="s">
        <v>59</v>
      </c>
      <c r="C27" s="4">
        <v>165125</v>
      </c>
      <c r="D27" s="4">
        <v>96309</v>
      </c>
      <c r="E27" s="17">
        <f t="shared" si="0"/>
        <v>-68816</v>
      </c>
      <c r="F27" s="27">
        <f t="shared" si="1"/>
        <v>-0.4168</v>
      </c>
      <c r="G27" s="9"/>
      <c r="H27" s="9"/>
    </row>
    <row r="28" spans="2:8" outlineLevel="1" x14ac:dyDescent="0.25">
      <c r="B28" s="11" t="s">
        <v>60</v>
      </c>
      <c r="C28" s="4">
        <v>63147</v>
      </c>
      <c r="D28" s="4">
        <v>30163</v>
      </c>
      <c r="E28" s="17">
        <f t="shared" si="0"/>
        <v>-32984</v>
      </c>
      <c r="F28" s="27">
        <f t="shared" si="1"/>
        <v>-0.52229999999999999</v>
      </c>
      <c r="G28" s="9"/>
      <c r="H28" s="9"/>
    </row>
    <row r="29" spans="2:8" outlineLevel="1" x14ac:dyDescent="0.25">
      <c r="B29" s="11" t="s">
        <v>61</v>
      </c>
      <c r="C29" s="6">
        <v>5379365</v>
      </c>
      <c r="D29" s="4">
        <v>5644407</v>
      </c>
      <c r="E29" s="17">
        <f t="shared" si="0"/>
        <v>265042</v>
      </c>
      <c r="F29" s="27">
        <f t="shared" si="1"/>
        <v>4.9299999999999997E-2</v>
      </c>
      <c r="G29" s="9"/>
      <c r="H29" s="9"/>
    </row>
    <row r="30" spans="2:8" outlineLevel="1" x14ac:dyDescent="0.25">
      <c r="B30" s="12" t="s">
        <v>62</v>
      </c>
      <c r="C30" s="4">
        <v>3990290</v>
      </c>
      <c r="D30" s="4">
        <v>-698296</v>
      </c>
      <c r="E30" s="17">
        <f t="shared" si="0"/>
        <v>-4688586</v>
      </c>
      <c r="F30" s="27">
        <f t="shared" si="1"/>
        <v>-1.175</v>
      </c>
      <c r="G30" s="9"/>
      <c r="H30" s="9"/>
    </row>
    <row r="31" spans="2:8" outlineLevel="1" x14ac:dyDescent="0.25">
      <c r="B31" s="12" t="s">
        <v>63</v>
      </c>
      <c r="C31" s="4">
        <v>2009893</v>
      </c>
      <c r="D31" s="4">
        <v>-704359</v>
      </c>
      <c r="E31" s="17">
        <f t="shared" si="0"/>
        <v>-2714252</v>
      </c>
      <c r="F31" s="27">
        <f t="shared" si="1"/>
        <v>-1.3504</v>
      </c>
      <c r="G31" s="9"/>
      <c r="H31" s="9"/>
    </row>
    <row r="32" spans="2:8" x14ac:dyDescent="0.25">
      <c r="B32" s="12" t="s">
        <v>64</v>
      </c>
      <c r="C32" s="4">
        <v>21217793</v>
      </c>
      <c r="D32" s="4">
        <v>23227685</v>
      </c>
      <c r="E32" s="17">
        <f t="shared" ref="E32:E33" si="2">D32-C32</f>
        <v>2009892</v>
      </c>
      <c r="F32" s="27">
        <f t="shared" si="1"/>
        <v>9.4700000000000006E-2</v>
      </c>
    </row>
    <row r="33" spans="2:6" ht="18.75" customHeight="1" x14ac:dyDescent="0.25">
      <c r="B33" s="12" t="s">
        <v>65</v>
      </c>
      <c r="C33" s="4">
        <v>171</v>
      </c>
      <c r="D33" s="4">
        <v>159</v>
      </c>
      <c r="E33" s="17">
        <f t="shared" si="2"/>
        <v>-12</v>
      </c>
      <c r="F33" s="27">
        <f t="shared" si="1"/>
        <v>-7.0199999999999999E-2</v>
      </c>
    </row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6:H16"/>
    <mergeCell ref="G13:H13"/>
    <mergeCell ref="G14:H14"/>
    <mergeCell ref="G15:H15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4BAC-088E-4C20-9A1D-D34800E27724}">
  <sheetPr>
    <pageSetUpPr fitToPage="1"/>
  </sheetPr>
  <dimension ref="B2:I42"/>
  <sheetViews>
    <sheetView zoomScale="70" zoomScaleNormal="70" workbookViewId="0">
      <selection activeCell="D13" sqref="D13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66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745212</v>
      </c>
      <c r="D4" s="13">
        <f>D30+D28+D29</f>
        <v>-102069</v>
      </c>
      <c r="E4" s="13">
        <f t="shared" ref="E4:E31" si="0">D4-C4</f>
        <v>-847281</v>
      </c>
      <c r="F4" s="14">
        <f>E4/C4</f>
        <v>-1.137</v>
      </c>
      <c r="G4" s="10" t="s">
        <v>31</v>
      </c>
      <c r="H4" s="15">
        <f>IF(D4&gt;0,1,0)</f>
        <v>0</v>
      </c>
    </row>
    <row r="5" spans="2:9" x14ac:dyDescent="0.25">
      <c r="B5" s="10" t="s">
        <v>32</v>
      </c>
      <c r="C5" s="13">
        <f>C14/C4</f>
        <v>1.06</v>
      </c>
      <c r="D5" s="13">
        <f>D14/D4</f>
        <v>-7.47</v>
      </c>
      <c r="E5" s="13">
        <f t="shared" si="0"/>
        <v>-8.5299999999999994</v>
      </c>
      <c r="F5" s="14">
        <f t="shared" ref="F5:F33" si="1">E5/C5</f>
        <v>-8.0472000000000001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5.04</v>
      </c>
      <c r="D6" s="13">
        <f>D11/D12</f>
        <v>4.34</v>
      </c>
      <c r="E6" s="13">
        <f t="shared" si="0"/>
        <v>-0.7</v>
      </c>
      <c r="F6" s="14">
        <f t="shared" si="1"/>
        <v>-0.1389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0.22</v>
      </c>
      <c r="D7" s="13">
        <f>D14/D16</f>
        <v>0.25</v>
      </c>
      <c r="E7" s="13">
        <f t="shared" si="0"/>
        <v>0.03</v>
      </c>
      <c r="F7" s="14">
        <f t="shared" si="1"/>
        <v>0.13639999999999999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7.09</v>
      </c>
      <c r="D8" s="13">
        <f>D4/(D28+D27+D26)</f>
        <v>-1.4</v>
      </c>
      <c r="E8" s="13">
        <f t="shared" si="0"/>
        <v>-8.49</v>
      </c>
      <c r="F8" s="14">
        <f t="shared" si="1"/>
        <v>-1.1975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5.13</v>
      </c>
      <c r="D9" s="13">
        <f>(0.717*((D11-D12))/D15)+(0.847*(D32/D15))+(3.107*((D30+D28)/D15))+(0.42*(D16/(D12+D13)))+(0.998*(D19/D15))</f>
        <v>4.04</v>
      </c>
      <c r="E9" s="13">
        <f t="shared" si="0"/>
        <v>-1.0900000000000001</v>
      </c>
      <c r="F9" s="14">
        <f t="shared" si="1"/>
        <v>-0.21249999999999999</v>
      </c>
      <c r="G9" s="10" t="s">
        <v>34</v>
      </c>
      <c r="H9" s="15">
        <f>IF(D9&lt;1.23,0,IF(D9&lt;2.9,1,2))</f>
        <v>2</v>
      </c>
    </row>
    <row r="10" spans="2:9" x14ac:dyDescent="0.25">
      <c r="B10" s="10" t="s">
        <v>38</v>
      </c>
      <c r="C10" s="13">
        <f>(C24+C18)/C12</f>
        <v>3.26</v>
      </c>
      <c r="D10" s="13">
        <f>(D24+D18)/D12</f>
        <v>2.46</v>
      </c>
      <c r="E10" s="13">
        <f t="shared" si="0"/>
        <v>-0.8</v>
      </c>
      <c r="F10" s="14">
        <f t="shared" si="1"/>
        <v>-0.24540000000000001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3342867</v>
      </c>
      <c r="D11" s="4">
        <v>2952209</v>
      </c>
      <c r="E11" s="17">
        <f t="shared" si="0"/>
        <v>-390658</v>
      </c>
      <c r="F11" s="27">
        <f t="shared" si="1"/>
        <v>-0.1169</v>
      </c>
      <c r="G11" s="9"/>
      <c r="H11" s="9"/>
    </row>
    <row r="12" spans="2:9" outlineLevel="1" x14ac:dyDescent="0.25">
      <c r="B12" s="12" t="s">
        <v>40</v>
      </c>
      <c r="C12" s="4">
        <v>662637</v>
      </c>
      <c r="D12" s="4">
        <v>680229</v>
      </c>
      <c r="E12" s="17">
        <f t="shared" si="0"/>
        <v>17592</v>
      </c>
      <c r="F12" s="27">
        <f t="shared" si="1"/>
        <v>2.6499999999999999E-2</v>
      </c>
      <c r="G12" s="9"/>
      <c r="H12" s="9"/>
    </row>
    <row r="13" spans="2:9" outlineLevel="1" x14ac:dyDescent="0.25">
      <c r="B13" s="12" t="s">
        <v>41</v>
      </c>
      <c r="C13" s="4">
        <v>130302</v>
      </c>
      <c r="D13" s="4">
        <v>81998</v>
      </c>
      <c r="E13" s="17">
        <f t="shared" si="0"/>
        <v>-48304</v>
      </c>
      <c r="F13" s="27">
        <f t="shared" si="1"/>
        <v>-0.37069999999999997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792939</v>
      </c>
      <c r="D14" s="4">
        <v>762227</v>
      </c>
      <c r="E14" s="17">
        <f t="shared" si="0"/>
        <v>-30712</v>
      </c>
      <c r="F14" s="27">
        <f t="shared" si="1"/>
        <v>-3.8699999999999998E-2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4440448</v>
      </c>
      <c r="D15" s="4">
        <v>3818279</v>
      </c>
      <c r="E15" s="17">
        <f t="shared" si="0"/>
        <v>-622169</v>
      </c>
      <c r="F15" s="27">
        <f t="shared" si="1"/>
        <v>-0.1401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3647509</v>
      </c>
      <c r="D16" s="4">
        <v>3056052</v>
      </c>
      <c r="E16" s="17">
        <f t="shared" si="0"/>
        <v>-591457</v>
      </c>
      <c r="F16" s="27">
        <f t="shared" si="1"/>
        <v>-0.16220000000000001</v>
      </c>
      <c r="G16" s="33" t="s">
        <v>48</v>
      </c>
      <c r="H16" s="33"/>
      <c r="I16" s="8">
        <f>SUM(H4:H10)</f>
        <v>6</v>
      </c>
    </row>
    <row r="17" spans="2:8" outlineLevel="1" x14ac:dyDescent="0.25">
      <c r="B17" s="12" t="s">
        <v>49</v>
      </c>
      <c r="C17" s="4">
        <v>4328270</v>
      </c>
      <c r="D17" s="4">
        <v>4129363</v>
      </c>
      <c r="E17" s="17">
        <f t="shared" si="0"/>
        <v>-198907</v>
      </c>
      <c r="F17" s="27">
        <f t="shared" si="1"/>
        <v>-4.5999999999999999E-2</v>
      </c>
      <c r="G17" s="9"/>
    </row>
    <row r="18" spans="2:8" outlineLevel="1" x14ac:dyDescent="0.25">
      <c r="B18" s="11" t="s">
        <v>50</v>
      </c>
      <c r="C18" s="4">
        <v>435475</v>
      </c>
      <c r="D18" s="5">
        <v>418969</v>
      </c>
      <c r="E18" s="17">
        <f t="shared" si="0"/>
        <v>-16506</v>
      </c>
      <c r="F18" s="27">
        <f t="shared" si="1"/>
        <v>-3.7900000000000003E-2</v>
      </c>
      <c r="G18" s="9"/>
      <c r="H18" s="9"/>
    </row>
    <row r="19" spans="2:8" outlineLevel="1" x14ac:dyDescent="0.25">
      <c r="B19" s="11" t="s">
        <v>51</v>
      </c>
      <c r="C19" s="4">
        <v>9545132</v>
      </c>
      <c r="D19" s="4">
        <v>6933267</v>
      </c>
      <c r="E19" s="17">
        <f t="shared" si="0"/>
        <v>-2611865</v>
      </c>
      <c r="F19" s="27">
        <f t="shared" si="1"/>
        <v>-0.27360000000000001</v>
      </c>
      <c r="G19" s="9"/>
      <c r="H19" s="9"/>
    </row>
    <row r="20" spans="2:8" outlineLevel="1" x14ac:dyDescent="0.25">
      <c r="B20" s="12" t="s">
        <v>52</v>
      </c>
      <c r="C20" s="4">
        <v>8412199</v>
      </c>
      <c r="D20" s="4">
        <v>6931432</v>
      </c>
      <c r="E20" s="17">
        <f t="shared" si="0"/>
        <v>-1480767</v>
      </c>
      <c r="F20" s="27">
        <f t="shared" si="1"/>
        <v>-0.17599999999999999</v>
      </c>
      <c r="G20" s="9"/>
      <c r="H20" s="9"/>
    </row>
    <row r="21" spans="2:8" outlineLevel="1" x14ac:dyDescent="0.25">
      <c r="B21" s="11" t="s">
        <v>53</v>
      </c>
      <c r="C21" s="4">
        <v>1132933</v>
      </c>
      <c r="D21" s="4">
        <v>1835</v>
      </c>
      <c r="E21" s="17">
        <f t="shared" si="0"/>
        <v>-1131098</v>
      </c>
      <c r="F21" s="27">
        <f t="shared" si="1"/>
        <v>-0.99839999999999995</v>
      </c>
      <c r="G21" s="9"/>
      <c r="H21" s="9"/>
    </row>
    <row r="22" spans="2:8" outlineLevel="1" x14ac:dyDescent="0.25">
      <c r="B22" s="11" t="s">
        <v>54</v>
      </c>
      <c r="C22" s="4">
        <v>213037</v>
      </c>
      <c r="D22" s="4">
        <v>237328</v>
      </c>
      <c r="E22" s="17">
        <f t="shared" si="0"/>
        <v>24291</v>
      </c>
      <c r="F22" s="27">
        <f t="shared" si="1"/>
        <v>0.114</v>
      </c>
      <c r="G22" s="9"/>
      <c r="H22" s="9"/>
    </row>
    <row r="23" spans="2:8" outlineLevel="1" x14ac:dyDescent="0.25">
      <c r="B23" s="11" t="s">
        <v>55</v>
      </c>
      <c r="C23" s="4">
        <v>93540</v>
      </c>
      <c r="D23" s="4">
        <v>32869</v>
      </c>
      <c r="E23" s="17">
        <f t="shared" si="0"/>
        <v>-60671</v>
      </c>
      <c r="F23" s="27">
        <f t="shared" si="1"/>
        <v>-0.64859999999999995</v>
      </c>
      <c r="G23" s="9"/>
      <c r="H23" s="9"/>
    </row>
    <row r="24" spans="2:8" outlineLevel="1" x14ac:dyDescent="0.25">
      <c r="B24" s="11" t="s">
        <v>56</v>
      </c>
      <c r="C24" s="4">
        <v>1726418</v>
      </c>
      <c r="D24" s="4">
        <v>1251327</v>
      </c>
      <c r="E24" s="17">
        <f t="shared" si="0"/>
        <v>-475091</v>
      </c>
      <c r="F24" s="27">
        <f t="shared" si="1"/>
        <v>-0.2752</v>
      </c>
      <c r="G24" s="9"/>
      <c r="H24" s="9"/>
    </row>
    <row r="25" spans="2:8" outlineLevel="1" x14ac:dyDescent="0.25">
      <c r="B25" s="11" t="s">
        <v>57</v>
      </c>
      <c r="C25" s="4">
        <v>543880</v>
      </c>
      <c r="D25" s="4">
        <v>147643</v>
      </c>
      <c r="E25" s="17">
        <f t="shared" si="0"/>
        <v>-396237</v>
      </c>
      <c r="F25" s="27">
        <f t="shared" si="1"/>
        <v>-0.72850000000000004</v>
      </c>
      <c r="G25" s="9"/>
      <c r="H25" s="9"/>
    </row>
    <row r="26" spans="2:8" outlineLevel="1" x14ac:dyDescent="0.25">
      <c r="B26" s="11" t="s">
        <v>58</v>
      </c>
      <c r="C26" s="4">
        <v>0</v>
      </c>
      <c r="D26" s="4">
        <v>0</v>
      </c>
      <c r="E26" s="17">
        <f t="shared" si="0"/>
        <v>0</v>
      </c>
      <c r="F26" s="27" t="e">
        <f t="shared" si="1"/>
        <v>#DIV/0!</v>
      </c>
      <c r="G26" s="9"/>
      <c r="H26" s="9"/>
    </row>
    <row r="27" spans="2:8" outlineLevel="1" x14ac:dyDescent="0.25">
      <c r="B27" s="11" t="s">
        <v>59</v>
      </c>
      <c r="C27" s="4">
        <v>96058</v>
      </c>
      <c r="D27" s="4">
        <v>64664</v>
      </c>
      <c r="E27" s="17">
        <f t="shared" si="0"/>
        <v>-31394</v>
      </c>
      <c r="F27" s="27">
        <f t="shared" si="1"/>
        <v>-0.32679999999999998</v>
      </c>
      <c r="G27" s="9"/>
      <c r="H27" s="9"/>
    </row>
    <row r="28" spans="2:8" outlineLevel="1" x14ac:dyDescent="0.25">
      <c r="B28" s="11" t="s">
        <v>60</v>
      </c>
      <c r="C28" s="4">
        <v>9023</v>
      </c>
      <c r="D28" s="4">
        <v>8273</v>
      </c>
      <c r="E28" s="17">
        <f t="shared" si="0"/>
        <v>-750</v>
      </c>
      <c r="F28" s="27">
        <f t="shared" si="1"/>
        <v>-8.3099999999999993E-2</v>
      </c>
      <c r="G28" s="9"/>
      <c r="H28" s="9"/>
    </row>
    <row r="29" spans="2:8" outlineLevel="1" x14ac:dyDescent="0.25">
      <c r="B29" s="11" t="s">
        <v>61</v>
      </c>
      <c r="C29" s="6">
        <v>274115</v>
      </c>
      <c r="D29" s="4">
        <v>234855</v>
      </c>
      <c r="E29" s="17">
        <f t="shared" si="0"/>
        <v>-39260</v>
      </c>
      <c r="F29" s="27">
        <f t="shared" si="1"/>
        <v>-0.14319999999999999</v>
      </c>
      <c r="G29" s="9"/>
      <c r="H29" s="9"/>
    </row>
    <row r="30" spans="2:8" outlineLevel="1" x14ac:dyDescent="0.25">
      <c r="B30" s="12" t="s">
        <v>62</v>
      </c>
      <c r="C30" s="4">
        <v>462074</v>
      </c>
      <c r="D30" s="4">
        <v>-345197</v>
      </c>
      <c r="E30" s="17">
        <f t="shared" si="0"/>
        <v>-807271</v>
      </c>
      <c r="F30" s="27">
        <f t="shared" si="1"/>
        <v>-1.7471000000000001</v>
      </c>
      <c r="G30" s="9"/>
      <c r="H30" s="9"/>
    </row>
    <row r="31" spans="2:8" outlineLevel="1" x14ac:dyDescent="0.25">
      <c r="B31" s="12" t="s">
        <v>63</v>
      </c>
      <c r="C31" s="4">
        <v>459276</v>
      </c>
      <c r="D31" s="4">
        <v>-360808</v>
      </c>
      <c r="E31" s="17">
        <f t="shared" si="0"/>
        <v>-820084</v>
      </c>
      <c r="F31" s="27">
        <f t="shared" si="1"/>
        <v>-1.7856000000000001</v>
      </c>
      <c r="G31" s="9"/>
      <c r="H31" s="9"/>
    </row>
    <row r="32" spans="2:8" x14ac:dyDescent="0.25">
      <c r="B32" s="12" t="s">
        <v>64</v>
      </c>
      <c r="C32" s="4">
        <v>1537702</v>
      </c>
      <c r="D32" s="4">
        <v>1767340</v>
      </c>
      <c r="E32" s="17">
        <f t="shared" ref="E32:E33" si="2">D32-C32</f>
        <v>229638</v>
      </c>
      <c r="F32" s="27">
        <f t="shared" si="1"/>
        <v>0.14929999999999999</v>
      </c>
    </row>
    <row r="33" spans="2:6" ht="18.75" customHeight="1" x14ac:dyDescent="0.25">
      <c r="B33" s="12" t="s">
        <v>65</v>
      </c>
      <c r="C33" s="4">
        <v>62</v>
      </c>
      <c r="D33" s="4">
        <v>57</v>
      </c>
      <c r="E33" s="17">
        <f t="shared" si="2"/>
        <v>-5</v>
      </c>
      <c r="F33" s="27">
        <f t="shared" si="1"/>
        <v>-8.0600000000000005E-2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B851-24F8-43ED-8328-39231E287E81}">
  <sheetPr>
    <pageSetUpPr fitToPage="1"/>
  </sheetPr>
  <dimension ref="B2:I42"/>
  <sheetViews>
    <sheetView topLeftCell="A3" zoomScale="70" zoomScaleNormal="70" workbookViewId="0">
      <selection activeCell="D8" sqref="D8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67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566041</v>
      </c>
      <c r="D4" s="13">
        <f>D30+D28+D29</f>
        <v>-7571242</v>
      </c>
      <c r="E4" s="13">
        <f t="shared" ref="E4:E31" si="0">D4-C4</f>
        <v>-8137283</v>
      </c>
      <c r="F4" s="14">
        <f>E4/C4</f>
        <v>-14.3758</v>
      </c>
      <c r="G4" s="10" t="s">
        <v>31</v>
      </c>
      <c r="H4" s="15">
        <f>IF(D4&gt;0,1,0)</f>
        <v>0</v>
      </c>
    </row>
    <row r="5" spans="2:9" x14ac:dyDescent="0.25">
      <c r="B5" s="10" t="s">
        <v>32</v>
      </c>
      <c r="C5" s="13">
        <f>C14/C4</f>
        <v>55.67</v>
      </c>
      <c r="D5" s="13">
        <f>D14/D4</f>
        <v>-5.28</v>
      </c>
      <c r="E5" s="13">
        <f t="shared" si="0"/>
        <v>-60.95</v>
      </c>
      <c r="F5" s="14">
        <f t="shared" ref="F5:F33" si="1">E5/C5</f>
        <v>-1.0948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0.39</v>
      </c>
      <c r="D6" s="13">
        <f>D11/D12</f>
        <v>0.34</v>
      </c>
      <c r="E6" s="13">
        <f t="shared" si="0"/>
        <v>-0.05</v>
      </c>
      <c r="F6" s="14">
        <f t="shared" si="1"/>
        <v>-0.12820000000000001</v>
      </c>
      <c r="G6" s="10" t="s">
        <v>34</v>
      </c>
      <c r="H6" s="15">
        <f>IF(D6&lt;1,0,IF(D6&lt;2,1,2))</f>
        <v>0</v>
      </c>
    </row>
    <row r="7" spans="2:9" x14ac:dyDescent="0.25">
      <c r="B7" s="10" t="s">
        <v>35</v>
      </c>
      <c r="C7" s="13">
        <f>C14/C16</f>
        <v>15.25</v>
      </c>
      <c r="D7" s="13">
        <f>D14/D16</f>
        <v>20.22</v>
      </c>
      <c r="E7" s="13">
        <f t="shared" si="0"/>
        <v>4.97</v>
      </c>
      <c r="F7" s="14">
        <f t="shared" si="1"/>
        <v>0.32590000000000002</v>
      </c>
      <c r="G7" s="10" t="s">
        <v>31</v>
      </c>
      <c r="H7" s="15">
        <f>IF(D7&lt;0.7,1,0)</f>
        <v>0</v>
      </c>
    </row>
    <row r="8" spans="2:9" x14ac:dyDescent="0.25">
      <c r="B8" s="10" t="s">
        <v>36</v>
      </c>
      <c r="C8" s="13">
        <f>C4/(C28+C27+C26)</f>
        <v>10.24</v>
      </c>
      <c r="D8" s="13">
        <f>D4/(D28+D27+D26)</f>
        <v>-15.81</v>
      </c>
      <c r="E8" s="13">
        <f t="shared" si="0"/>
        <v>-26.05</v>
      </c>
      <c r="F8" s="14">
        <f t="shared" si="1"/>
        <v>-2.5438999999999998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0.86</v>
      </c>
      <c r="D9" s="13">
        <f>(0.717*((D11-D12))/D15)+(0.847*(D32/D15))+(3.107*((D30+D28)/D15))+(0.42*(D16/(D12+D13)))+(0.998*(D19/D15))</f>
        <v>-0.53</v>
      </c>
      <c r="E9" s="13">
        <f t="shared" si="0"/>
        <v>-1.39</v>
      </c>
      <c r="F9" s="14">
        <f t="shared" si="1"/>
        <v>-1.6163000000000001</v>
      </c>
      <c r="G9" s="10" t="s">
        <v>34</v>
      </c>
      <c r="H9" s="15">
        <f>IF(D9&lt;1.23,0,IF(D9&lt;2.9,1,2))</f>
        <v>0</v>
      </c>
    </row>
    <row r="10" spans="2:9" x14ac:dyDescent="0.25">
      <c r="B10" s="10" t="s">
        <v>38</v>
      </c>
      <c r="C10" s="13">
        <f>(C24+C18)/C12</f>
        <v>0.26</v>
      </c>
      <c r="D10" s="13">
        <f>(D24+D18)/D12</f>
        <v>0.01</v>
      </c>
      <c r="E10" s="13">
        <f t="shared" si="0"/>
        <v>-0.25</v>
      </c>
      <c r="F10" s="14">
        <f t="shared" si="1"/>
        <v>-0.96150000000000002</v>
      </c>
      <c r="G10" s="16" t="s">
        <v>31</v>
      </c>
      <c r="H10" s="15">
        <f>IF(D10&gt;1,1,0)</f>
        <v>0</v>
      </c>
    </row>
    <row r="11" spans="2:9" outlineLevel="1" x14ac:dyDescent="0.25">
      <c r="B11" s="11" t="s">
        <v>39</v>
      </c>
      <c r="C11" s="4">
        <v>8623941</v>
      </c>
      <c r="D11" s="4">
        <v>10482028</v>
      </c>
      <c r="E11" s="17">
        <f t="shared" si="0"/>
        <v>1858087</v>
      </c>
      <c r="F11" s="27">
        <f t="shared" si="1"/>
        <v>0.2155</v>
      </c>
      <c r="G11" s="9"/>
      <c r="H11" s="9"/>
    </row>
    <row r="12" spans="2:9" outlineLevel="1" x14ac:dyDescent="0.25">
      <c r="B12" s="12" t="s">
        <v>40</v>
      </c>
      <c r="C12" s="4">
        <v>21944682</v>
      </c>
      <c r="D12" s="4">
        <v>30752926</v>
      </c>
      <c r="E12" s="17">
        <f t="shared" si="0"/>
        <v>8808244</v>
      </c>
      <c r="F12" s="27">
        <f t="shared" si="1"/>
        <v>0.40139999999999998</v>
      </c>
      <c r="G12" s="20" t="s">
        <v>68</v>
      </c>
      <c r="H12" s="9"/>
    </row>
    <row r="13" spans="2:9" outlineLevel="1" x14ac:dyDescent="0.25">
      <c r="B13" s="12" t="s">
        <v>41</v>
      </c>
      <c r="C13" s="4">
        <v>9567421</v>
      </c>
      <c r="D13" s="4">
        <v>9205158</v>
      </c>
      <c r="E13" s="17">
        <f t="shared" si="0"/>
        <v>-362263</v>
      </c>
      <c r="F13" s="27">
        <f t="shared" si="1"/>
        <v>-3.7900000000000003E-2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31512103</v>
      </c>
      <c r="D14" s="4">
        <v>39958084</v>
      </c>
      <c r="E14" s="17">
        <f t="shared" si="0"/>
        <v>8445981</v>
      </c>
      <c r="F14" s="27">
        <f t="shared" si="1"/>
        <v>0.26800000000000002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33577964</v>
      </c>
      <c r="D15" s="4">
        <v>41934564</v>
      </c>
      <c r="E15" s="17">
        <f t="shared" si="0"/>
        <v>8356600</v>
      </c>
      <c r="F15" s="27">
        <f t="shared" si="1"/>
        <v>0.24890000000000001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2065861</v>
      </c>
      <c r="D16" s="4">
        <v>1976480</v>
      </c>
      <c r="E16" s="17">
        <f t="shared" si="0"/>
        <v>-89381</v>
      </c>
      <c r="F16" s="27">
        <f t="shared" si="1"/>
        <v>-4.3299999999999998E-2</v>
      </c>
      <c r="G16" s="33" t="s">
        <v>48</v>
      </c>
      <c r="H16" s="33"/>
      <c r="I16" s="8">
        <f>SUM(H4:H10)</f>
        <v>0</v>
      </c>
    </row>
    <row r="17" spans="2:8" outlineLevel="1" x14ac:dyDescent="0.25">
      <c r="B17" s="12" t="s">
        <v>49</v>
      </c>
      <c r="C17" s="4">
        <v>18231329</v>
      </c>
      <c r="D17" s="4">
        <v>37756264</v>
      </c>
      <c r="E17" s="17">
        <f t="shared" si="0"/>
        <v>19524935</v>
      </c>
      <c r="F17" s="27">
        <f t="shared" si="1"/>
        <v>1.071</v>
      </c>
      <c r="G17" s="9"/>
    </row>
    <row r="18" spans="2:8" outlineLevel="1" x14ac:dyDescent="0.25">
      <c r="B18" s="11" t="s">
        <v>50</v>
      </c>
      <c r="C18" s="4">
        <v>5226879</v>
      </c>
      <c r="D18" s="4">
        <v>315301</v>
      </c>
      <c r="E18" s="17">
        <f t="shared" si="0"/>
        <v>-4911578</v>
      </c>
      <c r="F18" s="27">
        <f t="shared" si="1"/>
        <v>-0.93969999999999998</v>
      </c>
      <c r="G18" s="9"/>
      <c r="H18" s="9"/>
    </row>
    <row r="19" spans="2:8" outlineLevel="1" x14ac:dyDescent="0.25">
      <c r="B19" s="11" t="s">
        <v>51</v>
      </c>
      <c r="C19" s="4">
        <v>37091655</v>
      </c>
      <c r="D19" s="4">
        <v>16452174</v>
      </c>
      <c r="E19" s="17">
        <f t="shared" si="0"/>
        <v>-20639481</v>
      </c>
      <c r="F19" s="27">
        <f t="shared" si="1"/>
        <v>-0.55640000000000001</v>
      </c>
      <c r="G19" s="9"/>
      <c r="H19" s="9"/>
    </row>
    <row r="20" spans="2:8" outlineLevel="1" x14ac:dyDescent="0.25">
      <c r="B20" s="12" t="s">
        <v>52</v>
      </c>
      <c r="C20" s="4">
        <v>36313215</v>
      </c>
      <c r="D20" s="4">
        <v>23560579</v>
      </c>
      <c r="E20" s="17">
        <f t="shared" si="0"/>
        <v>-12752636</v>
      </c>
      <c r="F20" s="27">
        <f t="shared" si="1"/>
        <v>-0.35120000000000001</v>
      </c>
      <c r="G20" s="9"/>
      <c r="H20" s="9"/>
    </row>
    <row r="21" spans="2:8" outlineLevel="1" x14ac:dyDescent="0.25">
      <c r="B21" s="11" t="s">
        <v>53</v>
      </c>
      <c r="C21" s="4">
        <v>778440</v>
      </c>
      <c r="D21" s="4">
        <v>-7108405</v>
      </c>
      <c r="E21" s="17">
        <f t="shared" si="0"/>
        <v>-7886845</v>
      </c>
      <c r="F21" s="27">
        <f t="shared" si="1"/>
        <v>-10.131600000000001</v>
      </c>
      <c r="G21" s="9"/>
      <c r="H21" s="9"/>
    </row>
    <row r="22" spans="2:8" outlineLevel="1" x14ac:dyDescent="0.25">
      <c r="B22" s="11" t="s">
        <v>54</v>
      </c>
      <c r="C22" s="4">
        <v>347537</v>
      </c>
      <c r="D22" s="4">
        <v>516620</v>
      </c>
      <c r="E22" s="17">
        <f t="shared" si="0"/>
        <v>169083</v>
      </c>
      <c r="F22" s="27">
        <f t="shared" si="1"/>
        <v>0.48649999999999999</v>
      </c>
      <c r="G22" s="9"/>
      <c r="H22" s="9"/>
    </row>
    <row r="23" spans="2:8" outlineLevel="1" x14ac:dyDescent="0.25">
      <c r="B23" s="11" t="s">
        <v>55</v>
      </c>
      <c r="C23" s="4">
        <v>2000</v>
      </c>
      <c r="D23" s="4">
        <v>0</v>
      </c>
      <c r="E23" s="17">
        <f t="shared" si="0"/>
        <v>-2000</v>
      </c>
      <c r="F23" s="27">
        <f t="shared" si="1"/>
        <v>-1</v>
      </c>
      <c r="G23" s="9"/>
      <c r="H23" s="9"/>
    </row>
    <row r="24" spans="2:8" outlineLevel="1" x14ac:dyDescent="0.25">
      <c r="B24" s="11" t="s">
        <v>56</v>
      </c>
      <c r="C24" s="4">
        <v>394101</v>
      </c>
      <c r="D24" s="4">
        <v>3618</v>
      </c>
      <c r="E24" s="17">
        <f t="shared" si="0"/>
        <v>-390483</v>
      </c>
      <c r="F24" s="27">
        <f t="shared" si="1"/>
        <v>-0.99080000000000001</v>
      </c>
      <c r="G24" s="9"/>
      <c r="H24" s="9"/>
    </row>
    <row r="25" spans="2:8" outlineLevel="1" x14ac:dyDescent="0.25">
      <c r="B25" s="11" t="s">
        <v>57</v>
      </c>
      <c r="C25" s="4">
        <v>294558</v>
      </c>
      <c r="D25" s="4">
        <v>426679</v>
      </c>
      <c r="E25" s="17">
        <f t="shared" si="0"/>
        <v>132121</v>
      </c>
      <c r="F25" s="27">
        <f t="shared" si="1"/>
        <v>0.44850000000000001</v>
      </c>
      <c r="G25" s="9"/>
      <c r="H25" s="9"/>
    </row>
    <row r="26" spans="2:8" outlineLevel="1" x14ac:dyDescent="0.25">
      <c r="B26" s="11" t="s">
        <v>58</v>
      </c>
      <c r="C26" s="4">
        <v>0</v>
      </c>
      <c r="D26" s="4">
        <v>379167</v>
      </c>
      <c r="E26" s="17">
        <f t="shared" si="0"/>
        <v>379167</v>
      </c>
      <c r="F26" s="27" t="e">
        <f t="shared" si="1"/>
        <v>#DIV/0!</v>
      </c>
      <c r="G26" s="9"/>
      <c r="H26" s="9"/>
    </row>
    <row r="27" spans="2:8" outlineLevel="1" x14ac:dyDescent="0.25">
      <c r="B27" s="11" t="s">
        <v>59</v>
      </c>
      <c r="C27" s="4">
        <v>44500</v>
      </c>
      <c r="D27" s="4">
        <v>57289</v>
      </c>
      <c r="E27" s="17">
        <f t="shared" si="0"/>
        <v>12789</v>
      </c>
      <c r="F27" s="27">
        <f t="shared" si="1"/>
        <v>0.28739999999999999</v>
      </c>
      <c r="G27" s="9"/>
      <c r="H27" s="9"/>
    </row>
    <row r="28" spans="2:8" outlineLevel="1" x14ac:dyDescent="0.25">
      <c r="B28" s="11" t="s">
        <v>60</v>
      </c>
      <c r="C28" s="4">
        <v>10765</v>
      </c>
      <c r="D28" s="4">
        <v>42544</v>
      </c>
      <c r="E28" s="17">
        <f t="shared" si="0"/>
        <v>31779</v>
      </c>
      <c r="F28" s="27">
        <f t="shared" si="1"/>
        <v>2.9521000000000002</v>
      </c>
      <c r="G28" s="9"/>
      <c r="H28" s="9"/>
    </row>
    <row r="29" spans="2:8" outlineLevel="1" x14ac:dyDescent="0.25">
      <c r="B29" s="11" t="s">
        <v>61</v>
      </c>
      <c r="C29" s="4">
        <v>427018</v>
      </c>
      <c r="D29" s="6">
        <v>475133</v>
      </c>
      <c r="E29" s="17">
        <f t="shared" si="0"/>
        <v>48115</v>
      </c>
      <c r="F29" s="27">
        <f t="shared" si="1"/>
        <v>0.11269999999999999</v>
      </c>
      <c r="G29" s="9"/>
      <c r="H29" s="9"/>
    </row>
    <row r="30" spans="2:8" outlineLevel="1" x14ac:dyDescent="0.25">
      <c r="B30" s="12" t="s">
        <v>62</v>
      </c>
      <c r="C30" s="4">
        <v>128258</v>
      </c>
      <c r="D30" s="4">
        <v>-8088919</v>
      </c>
      <c r="E30" s="17">
        <f t="shared" si="0"/>
        <v>-8217177</v>
      </c>
      <c r="F30" s="27">
        <f t="shared" si="1"/>
        <v>-64.067599999999999</v>
      </c>
      <c r="G30" s="9"/>
      <c r="H30" s="9"/>
    </row>
    <row r="31" spans="2:8" outlineLevel="1" x14ac:dyDescent="0.25">
      <c r="B31" s="12" t="s">
        <v>63</v>
      </c>
      <c r="C31" s="4">
        <v>128258</v>
      </c>
      <c r="D31" s="4">
        <v>-8089381</v>
      </c>
      <c r="E31" s="17">
        <f t="shared" si="0"/>
        <v>-8217639</v>
      </c>
      <c r="F31" s="27">
        <f t="shared" si="1"/>
        <v>-64.071200000000005</v>
      </c>
      <c r="G31" s="9"/>
      <c r="H31" s="9"/>
    </row>
    <row r="32" spans="2:8" x14ac:dyDescent="0.25">
      <c r="B32" s="12" t="s">
        <v>64</v>
      </c>
      <c r="C32" s="4">
        <v>87603</v>
      </c>
      <c r="D32" s="4">
        <v>215861</v>
      </c>
      <c r="E32" s="17">
        <f t="shared" ref="E32:E33" si="2">D32-C32</f>
        <v>128258</v>
      </c>
      <c r="F32" s="27">
        <f t="shared" si="1"/>
        <v>1.4641</v>
      </c>
    </row>
    <row r="33" spans="2:6" ht="18.75" customHeight="1" x14ac:dyDescent="0.25">
      <c r="B33" s="12" t="s">
        <v>65</v>
      </c>
      <c r="C33" s="4">
        <v>49</v>
      </c>
      <c r="D33" s="4">
        <v>62</v>
      </c>
      <c r="E33" s="17">
        <f t="shared" si="2"/>
        <v>13</v>
      </c>
      <c r="F33" s="27">
        <f t="shared" si="1"/>
        <v>0.26529999999999998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8488B-9566-4D9C-A9AC-D41D858D8E81}">
  <sheetPr>
    <pageSetUpPr fitToPage="1"/>
  </sheetPr>
  <dimension ref="B2:I42"/>
  <sheetViews>
    <sheetView topLeftCell="A2" zoomScale="70" zoomScaleNormal="70" workbookViewId="0">
      <selection activeCell="D14" sqref="D14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5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4397858</v>
      </c>
      <c r="D4" s="13">
        <f>D30+D28+D29</f>
        <v>-2472783</v>
      </c>
      <c r="E4" s="13">
        <f t="shared" ref="E4:E31" si="0">D4-C4</f>
        <v>-6870641</v>
      </c>
      <c r="F4" s="14">
        <f>E4/C4</f>
        <v>-1.5623</v>
      </c>
      <c r="G4" s="10" t="s">
        <v>31</v>
      </c>
      <c r="H4" s="15">
        <f>IF(D4&gt;0,1,0)</f>
        <v>0</v>
      </c>
    </row>
    <row r="5" spans="2:9" x14ac:dyDescent="0.25">
      <c r="B5" s="10" t="s">
        <v>32</v>
      </c>
      <c r="C5" s="13">
        <f>C14/C4</f>
        <v>5.67</v>
      </c>
      <c r="D5" s="13">
        <f>D14/D4</f>
        <v>-13.74</v>
      </c>
      <c r="E5" s="13">
        <f t="shared" si="0"/>
        <v>-19.41</v>
      </c>
      <c r="F5" s="14">
        <f t="shared" ref="F5:F33" si="1">E5/C5</f>
        <v>-3.4232999999999998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1.1100000000000001</v>
      </c>
      <c r="D6" s="13">
        <f>D11/D12</f>
        <v>0.62</v>
      </c>
      <c r="E6" s="13">
        <f t="shared" si="0"/>
        <v>-0.49</v>
      </c>
      <c r="F6" s="14">
        <f t="shared" si="1"/>
        <v>-0.44140000000000001</v>
      </c>
      <c r="G6" s="10" t="s">
        <v>34</v>
      </c>
      <c r="H6" s="15">
        <f>IF(D6&lt;1,0,IF(D6&lt;2,1,2))</f>
        <v>0</v>
      </c>
    </row>
    <row r="7" spans="2:9" x14ac:dyDescent="0.25">
      <c r="B7" s="10" t="s">
        <v>35</v>
      </c>
      <c r="C7" s="13">
        <f>C14/C16</f>
        <v>0.98</v>
      </c>
      <c r="D7" s="13">
        <f>D14/D16</f>
        <v>1.89</v>
      </c>
      <c r="E7" s="13">
        <f t="shared" si="0"/>
        <v>0.91</v>
      </c>
      <c r="F7" s="14">
        <f t="shared" si="1"/>
        <v>0.92859999999999998</v>
      </c>
      <c r="G7" s="10" t="s">
        <v>31</v>
      </c>
      <c r="H7" s="15">
        <f>IF(D7&lt;0.7,1,0)</f>
        <v>0</v>
      </c>
    </row>
    <row r="8" spans="2:9" x14ac:dyDescent="0.25">
      <c r="B8" s="10" t="s">
        <v>36</v>
      </c>
      <c r="C8" s="13">
        <f>C4/(C28+C27+C26)</f>
        <v>2.12</v>
      </c>
      <c r="D8" s="13">
        <f>D4/(D28+D27+D26)</f>
        <v>-1.58</v>
      </c>
      <c r="E8" s="13">
        <f t="shared" si="0"/>
        <v>-3.7</v>
      </c>
      <c r="F8" s="14">
        <f t="shared" si="1"/>
        <v>-1.7453000000000001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2.76</v>
      </c>
      <c r="D9" s="13">
        <f>(0.717*((D11-D12))/D15)+(0.847*(D32/D15))+(3.107*((D30+D28)/D15))+(0.42*(D16/(D12+D13)))+(0.998*(D19/D15))</f>
        <v>1.4</v>
      </c>
      <c r="E9" s="13">
        <f t="shared" si="0"/>
        <v>-1.36</v>
      </c>
      <c r="F9" s="14">
        <f t="shared" si="1"/>
        <v>-0.49280000000000002</v>
      </c>
      <c r="G9" s="10" t="s">
        <v>34</v>
      </c>
      <c r="H9" s="15">
        <f>IF(D9&lt;1.23,0,IF(D9&lt;2.9,1,2))</f>
        <v>1</v>
      </c>
    </row>
    <row r="10" spans="2:9" x14ac:dyDescent="0.25">
      <c r="B10" s="10" t="s">
        <v>38</v>
      </c>
      <c r="C10" s="13">
        <f>(C24+C18)/C12</f>
        <v>0.14000000000000001</v>
      </c>
      <c r="D10" s="13">
        <f>(D24+D18)/D12</f>
        <v>0.22</v>
      </c>
      <c r="E10" s="13">
        <f t="shared" si="0"/>
        <v>0.08</v>
      </c>
      <c r="F10" s="14">
        <f t="shared" si="1"/>
        <v>0.57140000000000002</v>
      </c>
      <c r="G10" s="16" t="s">
        <v>31</v>
      </c>
      <c r="H10" s="15">
        <f>IF(D10&gt;1,1,0)</f>
        <v>0</v>
      </c>
    </row>
    <row r="11" spans="2:9" outlineLevel="1" x14ac:dyDescent="0.25">
      <c r="B11" s="11" t="s">
        <v>39</v>
      </c>
      <c r="C11" s="4">
        <v>12403468</v>
      </c>
      <c r="D11" s="4">
        <v>11885498</v>
      </c>
      <c r="E11" s="17">
        <f t="shared" si="0"/>
        <v>-517970</v>
      </c>
      <c r="F11" s="27">
        <f t="shared" si="1"/>
        <v>-4.1799999999999997E-2</v>
      </c>
      <c r="G11" s="9"/>
      <c r="H11" s="9"/>
    </row>
    <row r="12" spans="2:9" outlineLevel="1" x14ac:dyDescent="0.25">
      <c r="B12" s="12" t="s">
        <v>40</v>
      </c>
      <c r="C12" s="4">
        <v>11201949</v>
      </c>
      <c r="D12" s="4">
        <v>19053945</v>
      </c>
      <c r="E12" s="17">
        <f t="shared" si="0"/>
        <v>7851996</v>
      </c>
      <c r="F12" s="27">
        <f t="shared" si="1"/>
        <v>0.70089999999999997</v>
      </c>
      <c r="G12" s="20" t="s">
        <v>68</v>
      </c>
      <c r="H12" s="9"/>
    </row>
    <row r="13" spans="2:9" outlineLevel="1" x14ac:dyDescent="0.25">
      <c r="B13" s="12" t="s">
        <v>41</v>
      </c>
      <c r="C13" s="4">
        <v>13732204</v>
      </c>
      <c r="D13" s="4">
        <v>14929459</v>
      </c>
      <c r="E13" s="17">
        <f t="shared" si="0"/>
        <v>1197255</v>
      </c>
      <c r="F13" s="27">
        <f t="shared" si="1"/>
        <v>8.72E-2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24934153</v>
      </c>
      <c r="D14" s="4">
        <v>33983404</v>
      </c>
      <c r="E14" s="17">
        <f t="shared" si="0"/>
        <v>9049251</v>
      </c>
      <c r="F14" s="27">
        <f t="shared" si="1"/>
        <v>0.3629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50443514</v>
      </c>
      <c r="D15" s="4">
        <v>51929634</v>
      </c>
      <c r="E15" s="17">
        <f t="shared" si="0"/>
        <v>1486120</v>
      </c>
      <c r="F15" s="27">
        <f t="shared" si="1"/>
        <v>2.9499999999999998E-2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25509361</v>
      </c>
      <c r="D16" s="4">
        <v>17946230</v>
      </c>
      <c r="E16" s="17">
        <f t="shared" si="0"/>
        <v>-7563131</v>
      </c>
      <c r="F16" s="27">
        <f t="shared" si="1"/>
        <v>-0.29649999999999999</v>
      </c>
      <c r="G16" s="33" t="s">
        <v>48</v>
      </c>
      <c r="H16" s="33"/>
      <c r="I16" s="8">
        <f>SUM(H4:H10)</f>
        <v>1</v>
      </c>
    </row>
    <row r="17" spans="2:8" outlineLevel="1" x14ac:dyDescent="0.25">
      <c r="B17" s="12" t="s">
        <v>49</v>
      </c>
      <c r="C17" s="4">
        <v>47564886</v>
      </c>
      <c r="D17" s="4">
        <v>51186574</v>
      </c>
      <c r="E17" s="17">
        <f t="shared" si="0"/>
        <v>3621688</v>
      </c>
      <c r="F17" s="27">
        <f t="shared" si="1"/>
        <v>7.6100000000000001E-2</v>
      </c>
      <c r="G17" s="9"/>
    </row>
    <row r="18" spans="2:8" outlineLevel="1" x14ac:dyDescent="0.25">
      <c r="B18" s="11" t="s">
        <v>50</v>
      </c>
      <c r="C18" s="4">
        <v>1522908</v>
      </c>
      <c r="D18" s="4">
        <v>4147926</v>
      </c>
      <c r="E18" s="17">
        <f t="shared" si="0"/>
        <v>2625018</v>
      </c>
      <c r="F18" s="27">
        <f t="shared" si="1"/>
        <v>1.7237</v>
      </c>
      <c r="G18" s="9"/>
      <c r="H18" s="9"/>
    </row>
    <row r="19" spans="2:8" outlineLevel="1" x14ac:dyDescent="0.25">
      <c r="B19" s="11" t="s">
        <v>51</v>
      </c>
      <c r="C19" s="4">
        <v>95070506</v>
      </c>
      <c r="D19" s="4">
        <v>66840581</v>
      </c>
      <c r="E19" s="17">
        <f t="shared" si="0"/>
        <v>-28229925</v>
      </c>
      <c r="F19" s="27">
        <f t="shared" si="1"/>
        <v>-0.2969</v>
      </c>
      <c r="G19" s="9"/>
      <c r="H19" s="9"/>
    </row>
    <row r="20" spans="2:8" outlineLevel="1" x14ac:dyDescent="0.25">
      <c r="B20" s="12" t="s">
        <v>52</v>
      </c>
      <c r="C20" s="4">
        <v>92958490</v>
      </c>
      <c r="D20" s="4">
        <v>71567859</v>
      </c>
      <c r="E20" s="17">
        <f t="shared" si="0"/>
        <v>-21390631</v>
      </c>
      <c r="F20" s="27">
        <f t="shared" si="1"/>
        <v>-0.2301</v>
      </c>
      <c r="G20" s="9"/>
      <c r="H20" s="9"/>
    </row>
    <row r="21" spans="2:8" outlineLevel="1" x14ac:dyDescent="0.25">
      <c r="B21" s="11" t="s">
        <v>53</v>
      </c>
      <c r="C21" s="4">
        <v>2112016</v>
      </c>
      <c r="D21" s="4">
        <v>-4727278</v>
      </c>
      <c r="E21" s="17">
        <f t="shared" si="0"/>
        <v>-6839294</v>
      </c>
      <c r="F21" s="27">
        <f t="shared" si="1"/>
        <v>-3.2383000000000002</v>
      </c>
      <c r="G21" s="9"/>
      <c r="H21" s="9"/>
    </row>
    <row r="22" spans="2:8" outlineLevel="1" x14ac:dyDescent="0.25">
      <c r="B22" s="11" t="s">
        <v>54</v>
      </c>
      <c r="C22" s="4">
        <v>440794</v>
      </c>
      <c r="D22" s="4">
        <v>323595</v>
      </c>
      <c r="E22" s="17">
        <f t="shared" si="0"/>
        <v>-117199</v>
      </c>
      <c r="F22" s="27">
        <f t="shared" si="1"/>
        <v>-0.26590000000000003</v>
      </c>
      <c r="G22" s="9"/>
      <c r="H22" s="9"/>
    </row>
    <row r="23" spans="2:8" outlineLevel="1" x14ac:dyDescent="0.25">
      <c r="B23" s="11" t="s">
        <v>55</v>
      </c>
      <c r="C23" s="4">
        <v>1090015</v>
      </c>
      <c r="D23" s="4">
        <v>744880</v>
      </c>
      <c r="E23" s="17">
        <f t="shared" si="0"/>
        <v>-345135</v>
      </c>
      <c r="F23" s="27">
        <f t="shared" si="1"/>
        <v>-0.31659999999999999</v>
      </c>
      <c r="G23" s="9"/>
      <c r="H23" s="9"/>
    </row>
    <row r="24" spans="2:8" outlineLevel="1" x14ac:dyDescent="0.25">
      <c r="B24" s="11" t="s">
        <v>56</v>
      </c>
      <c r="C24" s="4">
        <v>5902</v>
      </c>
      <c r="D24" s="4">
        <v>5959</v>
      </c>
      <c r="E24" s="17">
        <f t="shared" si="0"/>
        <v>57</v>
      </c>
      <c r="F24" s="27">
        <f t="shared" si="1"/>
        <v>9.7000000000000003E-3</v>
      </c>
      <c r="G24" s="9"/>
      <c r="H24" s="9"/>
    </row>
    <row r="25" spans="2:8" outlineLevel="1" x14ac:dyDescent="0.25">
      <c r="B25" s="11" t="s">
        <v>57</v>
      </c>
      <c r="C25" s="4">
        <v>666746</v>
      </c>
      <c r="D25" s="4">
        <v>655481</v>
      </c>
      <c r="E25" s="17">
        <f t="shared" si="0"/>
        <v>-11265</v>
      </c>
      <c r="F25" s="27">
        <f t="shared" si="1"/>
        <v>-1.6899999999999998E-2</v>
      </c>
      <c r="G25" s="9"/>
      <c r="H25" s="9"/>
    </row>
    <row r="26" spans="2:8" outlineLevel="1" x14ac:dyDescent="0.25">
      <c r="B26" s="11" t="s">
        <v>58</v>
      </c>
      <c r="C26" s="4">
        <v>1323215</v>
      </c>
      <c r="D26" s="4">
        <v>648429</v>
      </c>
      <c r="E26" s="17">
        <f t="shared" si="0"/>
        <v>-674786</v>
      </c>
      <c r="F26" s="27">
        <f t="shared" si="1"/>
        <v>-0.51</v>
      </c>
      <c r="G26" s="9"/>
      <c r="H26" s="9"/>
    </row>
    <row r="27" spans="2:8" outlineLevel="1" x14ac:dyDescent="0.25">
      <c r="B27" s="11" t="s">
        <v>59</v>
      </c>
      <c r="C27" s="4">
        <v>337257</v>
      </c>
      <c r="D27" s="4">
        <v>358541</v>
      </c>
      <c r="E27" s="17">
        <f t="shared" si="0"/>
        <v>21284</v>
      </c>
      <c r="F27" s="27">
        <f t="shared" si="1"/>
        <v>6.3100000000000003E-2</v>
      </c>
      <c r="G27" s="9"/>
      <c r="H27" s="9"/>
    </row>
    <row r="28" spans="2:8" outlineLevel="1" x14ac:dyDescent="0.25">
      <c r="B28" s="11" t="s">
        <v>60</v>
      </c>
      <c r="C28" s="4">
        <v>413373</v>
      </c>
      <c r="D28" s="4">
        <v>555634</v>
      </c>
      <c r="E28" s="17">
        <f t="shared" si="0"/>
        <v>142261</v>
      </c>
      <c r="F28" s="27">
        <f t="shared" si="1"/>
        <v>0.34410000000000002</v>
      </c>
      <c r="G28" s="9"/>
      <c r="H28" s="9"/>
    </row>
    <row r="29" spans="2:8" outlineLevel="1" x14ac:dyDescent="0.25">
      <c r="B29" s="11" t="s">
        <v>61</v>
      </c>
      <c r="C29" s="4">
        <v>2224712</v>
      </c>
      <c r="D29" s="6">
        <v>2490188</v>
      </c>
      <c r="E29" s="17">
        <f t="shared" si="0"/>
        <v>265476</v>
      </c>
      <c r="F29" s="27">
        <f t="shared" si="1"/>
        <v>0.1193</v>
      </c>
      <c r="G29" s="9"/>
      <c r="H29" s="9"/>
    </row>
    <row r="30" spans="2:8" outlineLevel="1" x14ac:dyDescent="0.25">
      <c r="B30" s="12" t="s">
        <v>62</v>
      </c>
      <c r="C30" s="4">
        <v>1759773</v>
      </c>
      <c r="D30" s="4">
        <v>-5518605</v>
      </c>
      <c r="E30" s="17">
        <f t="shared" si="0"/>
        <v>-7278378</v>
      </c>
      <c r="F30" s="27">
        <f t="shared" si="1"/>
        <v>-4.1360000000000001</v>
      </c>
      <c r="G30" s="9"/>
      <c r="H30" s="9"/>
    </row>
    <row r="31" spans="2:8" outlineLevel="1" x14ac:dyDescent="0.25">
      <c r="B31" s="12" t="s">
        <v>63</v>
      </c>
      <c r="C31" s="4">
        <v>1759773</v>
      </c>
      <c r="D31" s="4">
        <v>-5519053</v>
      </c>
      <c r="E31" s="17">
        <f t="shared" si="0"/>
        <v>-7278826</v>
      </c>
      <c r="F31" s="27">
        <f t="shared" si="1"/>
        <v>-4.1361999999999997</v>
      </c>
      <c r="G31" s="9"/>
      <c r="H31" s="9"/>
    </row>
    <row r="32" spans="2:8" x14ac:dyDescent="0.25">
      <c r="B32" s="12" t="s">
        <v>64</v>
      </c>
      <c r="C32" s="4">
        <v>17947808</v>
      </c>
      <c r="D32" s="4">
        <v>17663503</v>
      </c>
      <c r="E32" s="17">
        <f t="shared" ref="E32:E33" si="2">D32-C32</f>
        <v>-284305</v>
      </c>
      <c r="F32" s="27">
        <f t="shared" si="1"/>
        <v>-1.5800000000000002E-2</v>
      </c>
    </row>
    <row r="33" spans="2:6" ht="18.75" customHeight="1" x14ac:dyDescent="0.25">
      <c r="B33" s="12" t="s">
        <v>65</v>
      </c>
      <c r="C33" s="4">
        <v>217</v>
      </c>
      <c r="D33" s="4">
        <v>178</v>
      </c>
      <c r="E33" s="17">
        <f t="shared" si="2"/>
        <v>-39</v>
      </c>
      <c r="F33" s="27">
        <f t="shared" si="1"/>
        <v>-0.1797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7C9F-85EC-4F11-B0E9-E1A091C55AD7}">
  <sheetPr>
    <pageSetUpPr fitToPage="1"/>
  </sheetPr>
  <dimension ref="B2:I42"/>
  <sheetViews>
    <sheetView zoomScale="60" zoomScaleNormal="60" workbookViewId="0">
      <selection activeCell="D8" sqref="D8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8554687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69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28673727</v>
      </c>
      <c r="D4" s="13">
        <f>D30+D28+D29</f>
        <v>4304236</v>
      </c>
      <c r="E4" s="13">
        <f t="shared" ref="E4:E31" si="0">D4-C4</f>
        <v>-24369491</v>
      </c>
      <c r="F4" s="14">
        <f>E4/C4</f>
        <v>-0.84989999999999999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0.28999999999999998</v>
      </c>
      <c r="D5" s="13">
        <f>D14/D4</f>
        <v>1.79</v>
      </c>
      <c r="E5" s="13">
        <f t="shared" si="0"/>
        <v>1.5</v>
      </c>
      <c r="F5" s="14">
        <f t="shared" ref="F5:F33" si="1">E5/C5</f>
        <v>5.1723999999999997</v>
      </c>
      <c r="G5" s="10" t="s">
        <v>31</v>
      </c>
      <c r="H5" s="15">
        <f>IF(AND(D5&gt;0,D5&lt;4),1,0)</f>
        <v>1</v>
      </c>
    </row>
    <row r="6" spans="2:9" x14ac:dyDescent="0.25">
      <c r="B6" s="10" t="s">
        <v>33</v>
      </c>
      <c r="C6" s="13">
        <f>C11/C12</f>
        <v>9.27</v>
      </c>
      <c r="D6" s="13">
        <f>D11/D12</f>
        <v>8.31</v>
      </c>
      <c r="E6" s="13">
        <f t="shared" si="0"/>
        <v>-0.96</v>
      </c>
      <c r="F6" s="14">
        <f t="shared" si="1"/>
        <v>-0.1036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0.08</v>
      </c>
      <c r="D7" s="13">
        <f>D14/D16</f>
        <v>7.0000000000000007E-2</v>
      </c>
      <c r="E7" s="13">
        <f t="shared" si="0"/>
        <v>-0.01</v>
      </c>
      <c r="F7" s="14">
        <f t="shared" si="1"/>
        <v>-0.125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134.69999999999999</v>
      </c>
      <c r="D8" s="13">
        <f>D4/(D28+D27+D26)</f>
        <v>9.16</v>
      </c>
      <c r="E8" s="13">
        <f t="shared" si="0"/>
        <v>-125.54</v>
      </c>
      <c r="F8" s="14">
        <f t="shared" si="1"/>
        <v>-0.93200000000000005</v>
      </c>
      <c r="G8" s="10" t="s">
        <v>31</v>
      </c>
      <c r="H8" s="15">
        <f>IF(D8&lt;1.2,0,1)</f>
        <v>1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8.24</v>
      </c>
      <c r="D9" s="13">
        <f>(0.717*((D11-D12))/D15)+(0.847*(D32/D15))+(3.107*((D30+D28)/D15))+(0.42*(D16/(D12+D13)))+(0.998*(D19/D15))</f>
        <v>7.58</v>
      </c>
      <c r="E9" s="13">
        <f t="shared" si="0"/>
        <v>-0.66</v>
      </c>
      <c r="F9" s="14">
        <f t="shared" si="1"/>
        <v>-8.0100000000000005E-2</v>
      </c>
      <c r="G9" s="10" t="s">
        <v>34</v>
      </c>
      <c r="H9" s="15">
        <f>IF(D9&lt;1.23,0,IF(D9&lt;2.9,1,2))</f>
        <v>2</v>
      </c>
    </row>
    <row r="10" spans="2:9" x14ac:dyDescent="0.25">
      <c r="B10" s="10" t="s">
        <v>38</v>
      </c>
      <c r="C10" s="13">
        <f>(C24+C18)/C12</f>
        <v>6.52</v>
      </c>
      <c r="D10" s="13">
        <f>(D24+D18)/D12</f>
        <v>5.21</v>
      </c>
      <c r="E10" s="13">
        <f t="shared" si="0"/>
        <v>-1.31</v>
      </c>
      <c r="F10" s="14">
        <f t="shared" si="1"/>
        <v>-0.2009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66569060</v>
      </c>
      <c r="D11" s="4">
        <v>58651255</v>
      </c>
      <c r="E11" s="17">
        <f t="shared" si="0"/>
        <v>-7917805</v>
      </c>
      <c r="F11" s="27">
        <f t="shared" si="1"/>
        <v>-0.11890000000000001</v>
      </c>
      <c r="G11" s="9"/>
      <c r="H11" s="9"/>
    </row>
    <row r="12" spans="2:9" outlineLevel="1" x14ac:dyDescent="0.25">
      <c r="B12" s="12" t="s">
        <v>40</v>
      </c>
      <c r="C12" s="4">
        <v>7181984</v>
      </c>
      <c r="D12" s="4">
        <v>7060404</v>
      </c>
      <c r="E12" s="17">
        <f t="shared" si="0"/>
        <v>-121580</v>
      </c>
      <c r="F12" s="27">
        <f t="shared" si="1"/>
        <v>-1.6899999999999998E-2</v>
      </c>
      <c r="G12" s="9"/>
      <c r="H12" s="9"/>
    </row>
    <row r="13" spans="2:9" outlineLevel="1" x14ac:dyDescent="0.25">
      <c r="B13" s="12" t="s">
        <v>41</v>
      </c>
      <c r="C13" s="4">
        <v>1099547</v>
      </c>
      <c r="D13" s="4">
        <v>649337</v>
      </c>
      <c r="E13" s="17">
        <f t="shared" si="0"/>
        <v>-450210</v>
      </c>
      <c r="F13" s="27">
        <f t="shared" si="1"/>
        <v>-0.40949999999999998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8281531</v>
      </c>
      <c r="D14" s="4">
        <v>7709741</v>
      </c>
      <c r="E14" s="17">
        <f t="shared" si="0"/>
        <v>-571790</v>
      </c>
      <c r="F14" s="27">
        <f t="shared" si="1"/>
        <v>-6.9000000000000006E-2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117580652</v>
      </c>
      <c r="D15" s="4">
        <v>116574975</v>
      </c>
      <c r="E15" s="17">
        <f t="shared" si="0"/>
        <v>-1005677</v>
      </c>
      <c r="F15" s="27">
        <f t="shared" si="1"/>
        <v>-8.6E-3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109299121</v>
      </c>
      <c r="D16" s="4">
        <v>108865234</v>
      </c>
      <c r="E16" s="17">
        <f t="shared" si="0"/>
        <v>-433887</v>
      </c>
      <c r="F16" s="27">
        <f t="shared" si="1"/>
        <v>-4.0000000000000001E-3</v>
      </c>
      <c r="G16" s="33" t="s">
        <v>48</v>
      </c>
      <c r="H16" s="33"/>
      <c r="I16" s="8">
        <f>SUM(H4:H10)</f>
        <v>9</v>
      </c>
    </row>
    <row r="17" spans="2:8" outlineLevel="1" x14ac:dyDescent="0.25">
      <c r="B17" s="12" t="s">
        <v>49</v>
      </c>
      <c r="C17" s="4">
        <v>105261742</v>
      </c>
      <c r="D17" s="4">
        <v>117077814</v>
      </c>
      <c r="E17" s="17">
        <f t="shared" si="0"/>
        <v>11816072</v>
      </c>
      <c r="F17" s="27">
        <f t="shared" si="1"/>
        <v>0.1123</v>
      </c>
      <c r="G17" s="9"/>
    </row>
    <row r="18" spans="2:8" outlineLevel="1" x14ac:dyDescent="0.25">
      <c r="B18" s="11" t="s">
        <v>50</v>
      </c>
      <c r="C18" s="4">
        <v>4695424</v>
      </c>
      <c r="D18" s="4">
        <v>3052339</v>
      </c>
      <c r="E18" s="17">
        <f t="shared" si="0"/>
        <v>-1643085</v>
      </c>
      <c r="F18" s="27">
        <f t="shared" si="1"/>
        <v>-0.34989999999999999</v>
      </c>
      <c r="G18" s="9"/>
      <c r="H18" s="9"/>
    </row>
    <row r="19" spans="2:8" outlineLevel="1" x14ac:dyDescent="0.25">
      <c r="B19" s="11" t="s">
        <v>51</v>
      </c>
      <c r="C19" s="4">
        <v>127915028</v>
      </c>
      <c r="D19" s="4">
        <v>64216959</v>
      </c>
      <c r="E19" s="17">
        <f t="shared" si="0"/>
        <v>-63698069</v>
      </c>
      <c r="F19" s="27">
        <f t="shared" si="1"/>
        <v>-0.498</v>
      </c>
      <c r="G19" s="9"/>
      <c r="H19" s="9"/>
    </row>
    <row r="20" spans="2:8" outlineLevel="1" x14ac:dyDescent="0.25">
      <c r="B20" s="12" t="s">
        <v>52</v>
      </c>
      <c r="C20" s="4">
        <v>63970932</v>
      </c>
      <c r="D20" s="4">
        <v>45854067</v>
      </c>
      <c r="E20" s="17">
        <f t="shared" si="0"/>
        <v>-18116865</v>
      </c>
      <c r="F20" s="27">
        <f t="shared" si="1"/>
        <v>-0.28320000000000001</v>
      </c>
      <c r="G20" s="9"/>
      <c r="H20" s="9"/>
    </row>
    <row r="21" spans="2:8" outlineLevel="1" x14ac:dyDescent="0.25">
      <c r="B21" s="11" t="s">
        <v>53</v>
      </c>
      <c r="C21" s="4">
        <v>63944096</v>
      </c>
      <c r="D21" s="4">
        <v>18362892</v>
      </c>
      <c r="E21" s="17">
        <f t="shared" si="0"/>
        <v>-45581204</v>
      </c>
      <c r="F21" s="27">
        <f t="shared" si="1"/>
        <v>-0.71279999999999999</v>
      </c>
      <c r="G21" s="9"/>
      <c r="H21" s="9"/>
    </row>
    <row r="22" spans="2:8" outlineLevel="1" x14ac:dyDescent="0.25">
      <c r="B22" s="11" t="s">
        <v>54</v>
      </c>
      <c r="C22" s="4">
        <v>15906818</v>
      </c>
      <c r="D22" s="4">
        <v>9009476</v>
      </c>
      <c r="E22" s="17">
        <f t="shared" si="0"/>
        <v>-6897342</v>
      </c>
      <c r="F22" s="27">
        <f t="shared" si="1"/>
        <v>-0.43359999999999999</v>
      </c>
      <c r="G22" s="9"/>
      <c r="H22" s="9"/>
    </row>
    <row r="23" spans="2:8" outlineLevel="1" x14ac:dyDescent="0.25">
      <c r="B23" s="11" t="s">
        <v>55</v>
      </c>
      <c r="C23" s="4">
        <v>326498</v>
      </c>
      <c r="D23" s="4">
        <v>1248444</v>
      </c>
      <c r="E23" s="17">
        <f t="shared" si="0"/>
        <v>921946</v>
      </c>
      <c r="F23" s="27">
        <f t="shared" si="1"/>
        <v>2.8237000000000001</v>
      </c>
      <c r="G23" s="9"/>
      <c r="H23" s="9"/>
    </row>
    <row r="24" spans="2:8" outlineLevel="1" x14ac:dyDescent="0.25">
      <c r="B24" s="11" t="s">
        <v>56</v>
      </c>
      <c r="C24" s="4">
        <v>42147667</v>
      </c>
      <c r="D24" s="4">
        <v>33759412</v>
      </c>
      <c r="E24" s="17">
        <f t="shared" si="0"/>
        <v>-8388255</v>
      </c>
      <c r="F24" s="27">
        <f t="shared" si="1"/>
        <v>-0.19900000000000001</v>
      </c>
      <c r="G24" s="9"/>
      <c r="H24" s="9"/>
    </row>
    <row r="25" spans="2:8" outlineLevel="1" x14ac:dyDescent="0.25">
      <c r="B25" s="11" t="s">
        <v>57</v>
      </c>
      <c r="C25" s="4">
        <v>15906818</v>
      </c>
      <c r="D25" s="4">
        <v>9009476</v>
      </c>
      <c r="E25" s="17">
        <f t="shared" si="0"/>
        <v>-6897342</v>
      </c>
      <c r="F25" s="27">
        <f t="shared" si="1"/>
        <v>-0.43359999999999999</v>
      </c>
      <c r="G25" s="9"/>
      <c r="H25" s="9"/>
    </row>
    <row r="26" spans="2:8" outlineLevel="1" x14ac:dyDescent="0.25">
      <c r="B26" s="11" t="s">
        <v>58</v>
      </c>
      <c r="C26" s="4">
        <v>181410</v>
      </c>
      <c r="D26" s="4">
        <v>455380</v>
      </c>
      <c r="E26" s="17">
        <f t="shared" si="0"/>
        <v>273970</v>
      </c>
      <c r="F26" s="27">
        <f t="shared" si="1"/>
        <v>1.5102</v>
      </c>
      <c r="G26" s="9"/>
      <c r="H26" s="9"/>
    </row>
    <row r="27" spans="2:8" outlineLevel="1" x14ac:dyDescent="0.25">
      <c r="B27" s="11" t="s">
        <v>59</v>
      </c>
      <c r="C27" s="4">
        <v>0</v>
      </c>
      <c r="D27" s="4">
        <v>0</v>
      </c>
      <c r="E27" s="17">
        <f t="shared" si="0"/>
        <v>0</v>
      </c>
      <c r="F27" s="27" t="e">
        <f t="shared" si="1"/>
        <v>#DIV/0!</v>
      </c>
      <c r="G27" s="9"/>
      <c r="H27" s="9"/>
    </row>
    <row r="28" spans="2:8" outlineLevel="1" x14ac:dyDescent="0.25">
      <c r="B28" s="11" t="s">
        <v>60</v>
      </c>
      <c r="C28" s="4">
        <v>31457</v>
      </c>
      <c r="D28" s="4">
        <v>14732</v>
      </c>
      <c r="E28" s="17">
        <f t="shared" si="0"/>
        <v>-16725</v>
      </c>
      <c r="F28" s="27">
        <f t="shared" si="1"/>
        <v>-0.53169999999999995</v>
      </c>
      <c r="G28" s="9"/>
      <c r="H28" s="9"/>
    </row>
    <row r="29" spans="2:8" outlineLevel="1" x14ac:dyDescent="0.25">
      <c r="B29" s="11" t="s">
        <v>61</v>
      </c>
      <c r="C29" s="4">
        <v>4046332</v>
      </c>
      <c r="D29" s="6">
        <v>4089833</v>
      </c>
      <c r="E29" s="17">
        <f t="shared" si="0"/>
        <v>43501</v>
      </c>
      <c r="F29" s="27">
        <f t="shared" si="1"/>
        <v>1.0800000000000001E-2</v>
      </c>
      <c r="G29" s="9"/>
      <c r="H29" s="9"/>
    </row>
    <row r="30" spans="2:8" outlineLevel="1" x14ac:dyDescent="0.25">
      <c r="B30" s="12" t="s">
        <v>62</v>
      </c>
      <c r="C30" s="4">
        <v>24595938</v>
      </c>
      <c r="D30" s="4">
        <v>199671</v>
      </c>
      <c r="E30" s="17">
        <f t="shared" si="0"/>
        <v>-24396267</v>
      </c>
      <c r="F30" s="27">
        <f t="shared" si="1"/>
        <v>-0.9919</v>
      </c>
      <c r="G30" s="9"/>
      <c r="H30" s="9"/>
    </row>
    <row r="31" spans="2:8" outlineLevel="1" x14ac:dyDescent="0.25">
      <c r="B31" s="12" t="s">
        <v>63</v>
      </c>
      <c r="C31" s="4">
        <v>24593900</v>
      </c>
      <c r="D31" s="4">
        <v>193076</v>
      </c>
      <c r="E31" s="17">
        <f t="shared" si="0"/>
        <v>-24400824</v>
      </c>
      <c r="F31" s="27">
        <f t="shared" si="1"/>
        <v>-0.99209999999999998</v>
      </c>
      <c r="G31" s="9"/>
      <c r="H31" s="9"/>
    </row>
    <row r="32" spans="2:8" x14ac:dyDescent="0.25">
      <c r="B32" s="12" t="s">
        <v>64</v>
      </c>
      <c r="C32" s="4">
        <v>83144024</v>
      </c>
      <c r="D32" s="4">
        <v>107110961</v>
      </c>
      <c r="E32" s="17">
        <f t="shared" ref="E32:E33" si="2">D32-C32</f>
        <v>23966937</v>
      </c>
      <c r="F32" s="27">
        <f t="shared" si="1"/>
        <v>0.2883</v>
      </c>
    </row>
    <row r="33" spans="2:6" ht="18.75" customHeight="1" x14ac:dyDescent="0.25">
      <c r="B33" s="12" t="s">
        <v>65</v>
      </c>
      <c r="C33" s="4">
        <v>484</v>
      </c>
      <c r="D33" s="4">
        <v>425</v>
      </c>
      <c r="E33" s="17">
        <f t="shared" si="2"/>
        <v>-59</v>
      </c>
      <c r="F33" s="27">
        <f t="shared" si="1"/>
        <v>-0.12189999999999999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E8DBC-F39D-4BAA-9455-232F821F0455}">
  <sheetPr>
    <pageSetUpPr fitToPage="1"/>
  </sheetPr>
  <dimension ref="B2:I42"/>
  <sheetViews>
    <sheetView zoomScale="70" zoomScaleNormal="70" workbookViewId="0">
      <selection activeCell="D8" sqref="D8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7440175</v>
      </c>
      <c r="D4" s="13">
        <f>D30+D28+D29</f>
        <v>14295494</v>
      </c>
      <c r="E4" s="13">
        <f t="shared" ref="E4:E32" si="0">D4-C4</f>
        <v>6855319</v>
      </c>
      <c r="F4" s="14">
        <f>E4/C4</f>
        <v>0.9214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2.72</v>
      </c>
      <c r="D5" s="13">
        <f>D14/D4</f>
        <v>0.87</v>
      </c>
      <c r="E5" s="13">
        <f t="shared" si="0"/>
        <v>-1.85</v>
      </c>
      <c r="F5" s="14">
        <f t="shared" ref="F5:F33" si="1">E5/C5</f>
        <v>-0.68010000000000004</v>
      </c>
      <c r="G5" s="10" t="s">
        <v>31</v>
      </c>
      <c r="H5" s="15">
        <f>IF(AND(D5&gt;0,D5&lt;4),1,0)</f>
        <v>1</v>
      </c>
    </row>
    <row r="6" spans="2:9" x14ac:dyDescent="0.25">
      <c r="B6" s="10" t="s">
        <v>33</v>
      </c>
      <c r="C6" s="13">
        <f>C11/C12</f>
        <v>1.6</v>
      </c>
      <c r="D6" s="13">
        <f>D11/D12</f>
        <v>2.68</v>
      </c>
      <c r="E6" s="13">
        <f t="shared" si="0"/>
        <v>1.08</v>
      </c>
      <c r="F6" s="14">
        <f t="shared" si="1"/>
        <v>0.67500000000000004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0.22</v>
      </c>
      <c r="D7" s="13">
        <f>D14/D16</f>
        <v>0.13</v>
      </c>
      <c r="E7" s="13">
        <f t="shared" si="0"/>
        <v>-0.09</v>
      </c>
      <c r="F7" s="14">
        <f t="shared" si="1"/>
        <v>-0.40910000000000002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0.64</v>
      </c>
      <c r="D8" s="13">
        <f>D4/(D28+D27+D26)</f>
        <v>45.89</v>
      </c>
      <c r="E8" s="13">
        <f t="shared" si="0"/>
        <v>45.25</v>
      </c>
      <c r="F8" s="14">
        <f t="shared" si="1"/>
        <v>70.703100000000006</v>
      </c>
      <c r="G8" s="10" t="s">
        <v>31</v>
      </c>
      <c r="H8" s="15">
        <f>IF(D8&lt;1.2,0,1)</f>
        <v>1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3.48</v>
      </c>
      <c r="D9" s="13">
        <f>(0.717*((D11-D12))/D15)+(0.847*(D32/D15))+(3.107*((D30+D28)/D15))+(0.42*(D16/(D12+D13)))+(0.998*(D19/D15))</f>
        <v>4.76</v>
      </c>
      <c r="E9" s="13">
        <f t="shared" si="0"/>
        <v>1.28</v>
      </c>
      <c r="F9" s="14">
        <f t="shared" si="1"/>
        <v>0.36780000000000002</v>
      </c>
      <c r="G9" s="10" t="s">
        <v>34</v>
      </c>
      <c r="H9" s="15">
        <f>IF(D9&lt;1.23,0,IF(D9&lt;2.9,1,2))</f>
        <v>2</v>
      </c>
    </row>
    <row r="10" spans="2:9" x14ac:dyDescent="0.25">
      <c r="B10" s="10" t="s">
        <v>38</v>
      </c>
      <c r="C10" s="13">
        <f>(C24+C18)/C12</f>
        <v>0.73</v>
      </c>
      <c r="D10" s="13">
        <f>(D24+D18)/D12</f>
        <v>1.6</v>
      </c>
      <c r="E10" s="13">
        <f t="shared" si="0"/>
        <v>0.87</v>
      </c>
      <c r="F10" s="14">
        <f t="shared" si="1"/>
        <v>1.1918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32162884</v>
      </c>
      <c r="D11" s="4">
        <v>33134261</v>
      </c>
      <c r="E11" s="17">
        <f t="shared" si="0"/>
        <v>971377</v>
      </c>
      <c r="F11" s="27">
        <f t="shared" si="1"/>
        <v>3.0200000000000001E-2</v>
      </c>
      <c r="G11" s="9"/>
      <c r="H11" s="9"/>
    </row>
    <row r="12" spans="2:9" outlineLevel="1" x14ac:dyDescent="0.25">
      <c r="B12" s="12" t="s">
        <v>40</v>
      </c>
      <c r="C12" s="4">
        <v>20125397</v>
      </c>
      <c r="D12" s="4">
        <v>12373727</v>
      </c>
      <c r="E12" s="17">
        <f t="shared" si="0"/>
        <v>-7751670</v>
      </c>
      <c r="F12" s="27">
        <f t="shared" si="1"/>
        <v>-0.38519999999999999</v>
      </c>
      <c r="G12" s="9"/>
      <c r="H12" s="9"/>
    </row>
    <row r="13" spans="2:9" outlineLevel="1" x14ac:dyDescent="0.25">
      <c r="B13" s="12" t="s">
        <v>41</v>
      </c>
      <c r="C13" s="4">
        <v>100854</v>
      </c>
      <c r="D13" s="4">
        <v>34056</v>
      </c>
      <c r="E13" s="17">
        <f t="shared" si="0"/>
        <v>-66798</v>
      </c>
      <c r="F13" s="27">
        <f t="shared" si="1"/>
        <v>-0.6623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20226251</v>
      </c>
      <c r="D14" s="4">
        <v>12407783</v>
      </c>
      <c r="E14" s="17">
        <f t="shared" si="0"/>
        <v>-7818468</v>
      </c>
      <c r="F14" s="27">
        <f t="shared" si="1"/>
        <v>-0.3866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112262266</v>
      </c>
      <c r="D15" s="4">
        <v>108233641</v>
      </c>
      <c r="E15" s="17">
        <f t="shared" si="0"/>
        <v>-4028625</v>
      </c>
      <c r="F15" s="27">
        <f t="shared" si="1"/>
        <v>-3.5900000000000001E-2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92036015</v>
      </c>
      <c r="D16" s="4">
        <v>95825858</v>
      </c>
      <c r="E16" s="17">
        <f t="shared" si="0"/>
        <v>3789843</v>
      </c>
      <c r="F16" s="27">
        <f t="shared" si="1"/>
        <v>4.1200000000000001E-2</v>
      </c>
      <c r="G16" s="33" t="s">
        <v>48</v>
      </c>
      <c r="H16" s="33"/>
      <c r="I16" s="8">
        <f>SUM(H4:H10)</f>
        <v>9</v>
      </c>
    </row>
    <row r="17" spans="2:8" outlineLevel="1" x14ac:dyDescent="0.25">
      <c r="B17" s="12" t="s">
        <v>49</v>
      </c>
      <c r="C17" s="4">
        <v>114683520</v>
      </c>
      <c r="D17" s="4">
        <v>110247954</v>
      </c>
      <c r="E17" s="17">
        <f t="shared" si="0"/>
        <v>-4435566</v>
      </c>
      <c r="F17" s="27">
        <f t="shared" si="1"/>
        <v>-3.8699999999999998E-2</v>
      </c>
      <c r="G17" s="9"/>
    </row>
    <row r="18" spans="2:8" outlineLevel="1" x14ac:dyDescent="0.25">
      <c r="B18" s="11" t="s">
        <v>50</v>
      </c>
      <c r="C18" s="4">
        <v>11441033</v>
      </c>
      <c r="D18" s="4">
        <v>16524440</v>
      </c>
      <c r="E18" s="17">
        <f t="shared" si="0"/>
        <v>5083407</v>
      </c>
      <c r="F18" s="27">
        <f t="shared" si="1"/>
        <v>0.44429999999999997</v>
      </c>
      <c r="G18" s="9"/>
      <c r="H18" s="9"/>
    </row>
    <row r="19" spans="2:8" outlineLevel="1" x14ac:dyDescent="0.25">
      <c r="B19" s="11" t="s">
        <v>51</v>
      </c>
      <c r="C19" s="4">
        <v>130261415</v>
      </c>
      <c r="D19" s="4">
        <v>107667634</v>
      </c>
      <c r="E19" s="17">
        <f t="shared" si="0"/>
        <v>-22593781</v>
      </c>
      <c r="F19" s="27">
        <f t="shared" si="1"/>
        <v>-0.1734</v>
      </c>
      <c r="G19" s="9"/>
      <c r="H19" s="9"/>
    </row>
    <row r="20" spans="2:8" outlineLevel="1" x14ac:dyDescent="0.25">
      <c r="B20" s="12" t="s">
        <v>52</v>
      </c>
      <c r="C20" s="4">
        <v>106129629</v>
      </c>
      <c r="D20" s="4">
        <v>98336355</v>
      </c>
      <c r="E20" s="17">
        <f t="shared" si="0"/>
        <v>-7793274</v>
      </c>
      <c r="F20" s="27">
        <f t="shared" si="1"/>
        <v>-7.3400000000000007E-2</v>
      </c>
      <c r="G20" s="9"/>
      <c r="H20" s="9"/>
    </row>
    <row r="21" spans="2:8" outlineLevel="1" x14ac:dyDescent="0.25">
      <c r="B21" s="11" t="s">
        <v>53</v>
      </c>
      <c r="C21" s="4">
        <v>24131786</v>
      </c>
      <c r="D21" s="4">
        <v>9331279</v>
      </c>
      <c r="E21" s="17">
        <f t="shared" si="0"/>
        <v>-14800507</v>
      </c>
      <c r="F21" s="27">
        <f t="shared" si="1"/>
        <v>-0.61329999999999996</v>
      </c>
      <c r="G21" s="9"/>
      <c r="H21" s="9"/>
    </row>
    <row r="22" spans="2:8" outlineLevel="1" x14ac:dyDescent="0.25">
      <c r="B22" s="11" t="s">
        <v>54</v>
      </c>
      <c r="C22" s="4">
        <v>10537842</v>
      </c>
      <c r="D22" s="4">
        <v>2061085</v>
      </c>
      <c r="E22" s="17">
        <f t="shared" si="0"/>
        <v>-8476757</v>
      </c>
      <c r="F22" s="27">
        <f t="shared" si="1"/>
        <v>-0.8044</v>
      </c>
      <c r="G22" s="9"/>
      <c r="H22" s="9"/>
    </row>
    <row r="23" spans="2:8" outlineLevel="1" x14ac:dyDescent="0.25">
      <c r="B23" s="11" t="s">
        <v>55</v>
      </c>
      <c r="C23" s="4">
        <v>526113</v>
      </c>
      <c r="D23" s="4">
        <v>10891155</v>
      </c>
      <c r="E23" s="17">
        <f t="shared" si="0"/>
        <v>10365042</v>
      </c>
      <c r="F23" s="27">
        <f t="shared" si="1"/>
        <v>19.7012</v>
      </c>
      <c r="G23" s="9"/>
      <c r="H23" s="9"/>
    </row>
    <row r="24" spans="2:8" outlineLevel="1" x14ac:dyDescent="0.25">
      <c r="B24" s="11" t="s">
        <v>56</v>
      </c>
      <c r="C24" s="4">
        <v>3279624</v>
      </c>
      <c r="D24" s="4">
        <v>3283660</v>
      </c>
      <c r="E24" s="17">
        <f t="shared" si="0"/>
        <v>4036</v>
      </c>
      <c r="F24" s="27">
        <f t="shared" si="1"/>
        <v>1.1999999999999999E-3</v>
      </c>
      <c r="G24" s="9"/>
      <c r="H24" s="9"/>
    </row>
    <row r="25" spans="2:8" outlineLevel="1" x14ac:dyDescent="0.25">
      <c r="B25" s="11" t="s">
        <v>57</v>
      </c>
      <c r="C25" s="4">
        <v>10537842</v>
      </c>
      <c r="D25" s="4">
        <v>2061085</v>
      </c>
      <c r="E25" s="17">
        <f t="shared" si="0"/>
        <v>-8476757</v>
      </c>
      <c r="F25" s="27">
        <f t="shared" si="1"/>
        <v>-0.8044</v>
      </c>
      <c r="G25" s="9"/>
      <c r="H25" s="9"/>
    </row>
    <row r="26" spans="2:8" outlineLevel="1" x14ac:dyDescent="0.25">
      <c r="B26" s="11" t="s">
        <v>58</v>
      </c>
      <c r="C26" s="4">
        <v>11203700</v>
      </c>
      <c r="D26" s="4">
        <v>154850</v>
      </c>
      <c r="E26" s="17">
        <f t="shared" si="0"/>
        <v>-11048850</v>
      </c>
      <c r="F26" s="27">
        <f t="shared" si="1"/>
        <v>-0.98619999999999997</v>
      </c>
      <c r="G26" s="9"/>
      <c r="H26" s="9"/>
    </row>
    <row r="27" spans="2:8" outlineLevel="1" x14ac:dyDescent="0.25">
      <c r="B27" s="11" t="s">
        <v>59</v>
      </c>
      <c r="C27" s="4">
        <v>0</v>
      </c>
      <c r="D27" s="4">
        <v>0</v>
      </c>
      <c r="E27" s="17">
        <f t="shared" si="0"/>
        <v>0</v>
      </c>
      <c r="F27" s="27" t="e">
        <f t="shared" si="1"/>
        <v>#DIV/0!</v>
      </c>
      <c r="G27" s="9"/>
      <c r="H27" s="9"/>
    </row>
    <row r="28" spans="2:8" outlineLevel="1" x14ac:dyDescent="0.25">
      <c r="B28" s="11" t="s">
        <v>60</v>
      </c>
      <c r="C28" s="4">
        <v>383175</v>
      </c>
      <c r="D28" s="4">
        <v>156680</v>
      </c>
      <c r="E28" s="17">
        <f t="shared" si="0"/>
        <v>-226495</v>
      </c>
      <c r="F28" s="27">
        <f t="shared" si="1"/>
        <v>-0.59109999999999996</v>
      </c>
      <c r="G28" s="9"/>
      <c r="H28" s="9"/>
    </row>
    <row r="29" spans="2:8" outlineLevel="1" x14ac:dyDescent="0.25">
      <c r="B29" s="11" t="s">
        <v>61</v>
      </c>
      <c r="C29" s="4">
        <v>2766037</v>
      </c>
      <c r="D29" s="6">
        <v>2771072</v>
      </c>
      <c r="E29" s="17">
        <f t="shared" si="0"/>
        <v>5035</v>
      </c>
      <c r="F29" s="27">
        <f t="shared" si="1"/>
        <v>1.8E-3</v>
      </c>
      <c r="G29" s="9"/>
      <c r="H29" s="9"/>
    </row>
    <row r="30" spans="2:8" outlineLevel="1" x14ac:dyDescent="0.25">
      <c r="B30" s="12" t="s">
        <v>62</v>
      </c>
      <c r="C30" s="4">
        <v>4290963</v>
      </c>
      <c r="D30" s="4">
        <v>11367742</v>
      </c>
      <c r="E30" s="17">
        <f t="shared" si="0"/>
        <v>7076779</v>
      </c>
      <c r="F30" s="27">
        <f t="shared" si="1"/>
        <v>1.6492</v>
      </c>
      <c r="G30" s="9"/>
      <c r="H30" s="9"/>
    </row>
    <row r="31" spans="2:8" outlineLevel="1" x14ac:dyDescent="0.25">
      <c r="B31" s="12" t="s">
        <v>63</v>
      </c>
      <c r="C31" s="4">
        <v>4280535</v>
      </c>
      <c r="D31" s="4">
        <v>11356868</v>
      </c>
      <c r="E31" s="17">
        <f t="shared" si="0"/>
        <v>7076333</v>
      </c>
      <c r="F31" s="27">
        <f t="shared" si="1"/>
        <v>1.6531</v>
      </c>
      <c r="G31" s="9"/>
      <c r="H31" s="9"/>
    </row>
    <row r="32" spans="2:8" x14ac:dyDescent="0.25">
      <c r="B32" s="12" t="s">
        <v>64</v>
      </c>
      <c r="C32" s="4">
        <v>26973014</v>
      </c>
      <c r="D32" s="4">
        <v>7450004</v>
      </c>
      <c r="E32" s="17">
        <f t="shared" si="0"/>
        <v>-19523010</v>
      </c>
      <c r="F32" s="27">
        <f t="shared" si="1"/>
        <v>-0.7238</v>
      </c>
    </row>
    <row r="33" spans="2:6" ht="18.75" customHeight="1" x14ac:dyDescent="0.25">
      <c r="B33" s="12" t="s">
        <v>65</v>
      </c>
      <c r="C33" s="4">
        <v>228</v>
      </c>
      <c r="D33" s="4">
        <v>222</v>
      </c>
      <c r="E33" s="17">
        <f t="shared" ref="E33" si="2">D33-C33</f>
        <v>-6</v>
      </c>
      <c r="F33" s="27">
        <f t="shared" si="1"/>
        <v>-2.63E-2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5CA81-FFB9-4D4E-9C7C-9F55E3A9462B}">
  <sheetPr>
    <pageSetUpPr fitToPage="1"/>
  </sheetPr>
  <dimension ref="B2:I43"/>
  <sheetViews>
    <sheetView topLeftCell="B9" zoomScale="94" zoomScaleNormal="70" workbookViewId="0">
      <selection activeCell="D9" sqref="D9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70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C31+C29+C30</f>
        <v>21629409</v>
      </c>
      <c r="D4" s="13">
        <f>D31+D29+D30</f>
        <v>95711</v>
      </c>
      <c r="E4" s="13">
        <f t="shared" ref="E4:E32" si="0">D4-C4</f>
        <v>-21533698</v>
      </c>
      <c r="F4" s="14">
        <f>E4/C4</f>
        <v>-0.99560000000000004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0.26</v>
      </c>
      <c r="D5" s="13">
        <f>D14/D4</f>
        <v>21.85</v>
      </c>
      <c r="E5" s="13">
        <f t="shared" si="0"/>
        <v>21.59</v>
      </c>
      <c r="F5" s="14">
        <f t="shared" ref="F5:F34" si="1">E5/C5</f>
        <v>83.038499999999999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14.33</v>
      </c>
      <c r="D6" s="13">
        <f>D11/D12</f>
        <v>19.989999999999998</v>
      </c>
      <c r="E6" s="13">
        <f t="shared" si="0"/>
        <v>5.66</v>
      </c>
      <c r="F6" s="14">
        <f t="shared" si="1"/>
        <v>0.39500000000000002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0.09</v>
      </c>
      <c r="D7" s="13">
        <f>D14/D16</f>
        <v>0.04</v>
      </c>
      <c r="E7" s="13">
        <f t="shared" si="0"/>
        <v>-0.05</v>
      </c>
      <c r="F7" s="14">
        <f t="shared" si="1"/>
        <v>-0.55559999999999998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4.29</v>
      </c>
      <c r="D8" s="13">
        <f>D4/(D28+D27+D26)</f>
        <v>0.04</v>
      </c>
      <c r="E8" s="13">
        <f t="shared" si="0"/>
        <v>-4.25</v>
      </c>
      <c r="F8" s="14">
        <f t="shared" si="1"/>
        <v>-0.99070000000000003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(0.717*((C11-C12))/C15)+(0.847*(C33/C15))+(3.107*((C31+C29)/C15))+(0.42*(C16/(C12+C13)))+(0.998*(C19/C15))</f>
        <v>7.83</v>
      </c>
      <c r="D9" s="13">
        <f>(0.717*((D11-D12))/D15)+(0.847*(D33/D15))+(3.107*((D31+D29)/D15))+(0.42*(D16/(D12+D13)))+(0.998*(D19/D15))</f>
        <v>13.65</v>
      </c>
      <c r="E9" s="13">
        <f t="shared" si="0"/>
        <v>5.82</v>
      </c>
      <c r="F9" s="14">
        <f t="shared" si="1"/>
        <v>0.74329999999999996</v>
      </c>
      <c r="G9" s="10" t="s">
        <v>34</v>
      </c>
      <c r="H9" s="15">
        <f>IF(D9&lt;1.23,0,IF(D9&lt;2.9,1,2))</f>
        <v>2</v>
      </c>
    </row>
    <row r="10" spans="2:9" x14ac:dyDescent="0.25">
      <c r="B10" s="10" t="s">
        <v>38</v>
      </c>
      <c r="C10" s="13">
        <f>(C24+C18)/C12</f>
        <v>9.91</v>
      </c>
      <c r="D10" s="13">
        <f>(D24+D18)/D12</f>
        <v>14.6</v>
      </c>
      <c r="E10" s="13">
        <f t="shared" si="0"/>
        <v>4.6900000000000004</v>
      </c>
      <c r="F10" s="14">
        <f t="shared" si="1"/>
        <v>0.4733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37505647</v>
      </c>
      <c r="D11" s="4">
        <v>29970074</v>
      </c>
      <c r="E11" s="17">
        <f t="shared" si="0"/>
        <v>-7535573</v>
      </c>
      <c r="F11" s="27">
        <f t="shared" si="1"/>
        <v>-0.2009</v>
      </c>
      <c r="G11" s="9"/>
      <c r="H11" s="9"/>
    </row>
    <row r="12" spans="2:9" outlineLevel="1" x14ac:dyDescent="0.25">
      <c r="B12" s="12" t="s">
        <v>40</v>
      </c>
      <c r="C12" s="4">
        <v>2617844</v>
      </c>
      <c r="D12" s="4">
        <v>1499047</v>
      </c>
      <c r="E12" s="17">
        <f t="shared" si="0"/>
        <v>-1118797</v>
      </c>
      <c r="F12" s="27">
        <f t="shared" si="1"/>
        <v>-0.4274</v>
      </c>
      <c r="G12" s="20"/>
      <c r="H12" s="9"/>
    </row>
    <row r="13" spans="2:9" outlineLevel="1" x14ac:dyDescent="0.25">
      <c r="B13" s="12" t="s">
        <v>41</v>
      </c>
      <c r="C13" s="4">
        <v>2957569</v>
      </c>
      <c r="D13" s="4">
        <v>592488</v>
      </c>
      <c r="E13" s="17">
        <f t="shared" si="0"/>
        <v>-2365081</v>
      </c>
      <c r="F13" s="27">
        <f t="shared" si="1"/>
        <v>-0.79969999999999997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5575413</v>
      </c>
      <c r="D14" s="4">
        <v>2091535</v>
      </c>
      <c r="E14" s="17">
        <f t="shared" si="0"/>
        <v>-3483878</v>
      </c>
      <c r="F14" s="27">
        <f t="shared" si="1"/>
        <v>-0.62490000000000001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65615303</v>
      </c>
      <c r="D15" s="4">
        <v>59391326</v>
      </c>
      <c r="E15" s="17">
        <f t="shared" si="0"/>
        <v>-6223977</v>
      </c>
      <c r="F15" s="27">
        <f t="shared" si="1"/>
        <v>-9.4899999999999998E-2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60039890</v>
      </c>
      <c r="D16" s="4">
        <v>57299791</v>
      </c>
      <c r="E16" s="17">
        <f t="shared" si="0"/>
        <v>-2740099</v>
      </c>
      <c r="F16" s="27">
        <f t="shared" si="1"/>
        <v>-4.5600000000000002E-2</v>
      </c>
      <c r="G16" s="33" t="s">
        <v>48</v>
      </c>
      <c r="H16" s="33"/>
      <c r="I16" s="8">
        <f>SUM(H4:H10)</f>
        <v>7</v>
      </c>
    </row>
    <row r="17" spans="2:8" outlineLevel="1" x14ac:dyDescent="0.25">
      <c r="B17" s="12" t="s">
        <v>49</v>
      </c>
      <c r="C17" s="4">
        <v>58938683</v>
      </c>
      <c r="D17" s="4">
        <v>62503315</v>
      </c>
      <c r="E17" s="17">
        <f t="shared" si="0"/>
        <v>3564632</v>
      </c>
      <c r="F17" s="27">
        <f t="shared" si="1"/>
        <v>6.0499999999999998E-2</v>
      </c>
      <c r="G17" s="9"/>
    </row>
    <row r="18" spans="2:8" outlineLevel="1" x14ac:dyDescent="0.25">
      <c r="B18" s="11" t="s">
        <v>50</v>
      </c>
      <c r="C18" s="4">
        <v>2971765</v>
      </c>
      <c r="D18" s="4">
        <v>3739441</v>
      </c>
      <c r="E18" s="17">
        <f t="shared" si="0"/>
        <v>767676</v>
      </c>
      <c r="F18" s="27">
        <f t="shared" si="1"/>
        <v>0.25829999999999997</v>
      </c>
      <c r="G18" s="9"/>
      <c r="H18" s="9"/>
    </row>
    <row r="19" spans="2:8" outlineLevel="1" x14ac:dyDescent="0.25">
      <c r="B19" s="11" t="s">
        <v>51</v>
      </c>
      <c r="C19" s="4">
        <v>105575191</v>
      </c>
      <c r="D19" s="4">
        <v>71907882</v>
      </c>
      <c r="E19" s="17">
        <f t="shared" si="0"/>
        <v>-33667309</v>
      </c>
      <c r="F19" s="27">
        <f t="shared" si="1"/>
        <v>-0.31890000000000002</v>
      </c>
      <c r="G19" s="9"/>
      <c r="H19" s="9"/>
    </row>
    <row r="20" spans="2:8" outlineLevel="1" x14ac:dyDescent="0.25">
      <c r="B20" s="12" t="s">
        <v>52</v>
      </c>
      <c r="C20" s="4">
        <v>76301102</v>
      </c>
      <c r="D20" s="4">
        <v>67381681</v>
      </c>
      <c r="E20" s="17">
        <f t="shared" si="0"/>
        <v>-8919421</v>
      </c>
      <c r="F20" s="27">
        <f t="shared" si="1"/>
        <v>-0.1169</v>
      </c>
      <c r="G20" s="9"/>
      <c r="H20" s="9"/>
    </row>
    <row r="21" spans="2:8" outlineLevel="1" x14ac:dyDescent="0.25">
      <c r="B21" s="11" t="s">
        <v>53</v>
      </c>
      <c r="C21" s="4">
        <v>29274089</v>
      </c>
      <c r="D21" s="4">
        <v>4526201</v>
      </c>
      <c r="E21" s="17">
        <f t="shared" si="0"/>
        <v>-24747888</v>
      </c>
      <c r="F21" s="27">
        <f t="shared" si="1"/>
        <v>-0.84540000000000004</v>
      </c>
      <c r="G21" s="9"/>
      <c r="H21" s="9"/>
    </row>
    <row r="22" spans="2:8" outlineLevel="1" x14ac:dyDescent="0.25">
      <c r="B22" s="11" t="s">
        <v>54</v>
      </c>
      <c r="C22" s="4">
        <v>2708205</v>
      </c>
      <c r="D22" s="4">
        <v>1962749</v>
      </c>
      <c r="E22" s="17">
        <f t="shared" si="0"/>
        <v>-745456</v>
      </c>
      <c r="F22" s="27">
        <f t="shared" si="1"/>
        <v>-0.27529999999999999</v>
      </c>
      <c r="G22" s="9"/>
      <c r="H22" s="9"/>
    </row>
    <row r="23" spans="2:8" outlineLevel="1" x14ac:dyDescent="0.25">
      <c r="B23" s="11" t="s">
        <v>55</v>
      </c>
      <c r="C23" s="4">
        <v>262645</v>
      </c>
      <c r="D23" s="4">
        <v>270668</v>
      </c>
      <c r="E23" s="17">
        <f t="shared" si="0"/>
        <v>8023</v>
      </c>
      <c r="F23" s="27">
        <f t="shared" si="1"/>
        <v>3.0499999999999999E-2</v>
      </c>
      <c r="G23" s="9"/>
      <c r="H23" s="9"/>
    </row>
    <row r="24" spans="2:8" outlineLevel="1" x14ac:dyDescent="0.25">
      <c r="B24" s="11" t="s">
        <v>56</v>
      </c>
      <c r="C24" s="4">
        <v>22981008</v>
      </c>
      <c r="D24" s="4">
        <v>18145168</v>
      </c>
      <c r="E24" s="17">
        <f t="shared" si="0"/>
        <v>-4835840</v>
      </c>
      <c r="F24" s="27">
        <f t="shared" si="1"/>
        <v>-0.2104</v>
      </c>
      <c r="G24" s="9"/>
      <c r="H24" s="9"/>
    </row>
    <row r="25" spans="2:8" outlineLevel="1" x14ac:dyDescent="0.25">
      <c r="B25" s="11" t="s">
        <v>57</v>
      </c>
      <c r="C25" s="4">
        <v>99198</v>
      </c>
      <c r="D25" s="4">
        <v>119805</v>
      </c>
      <c r="E25" s="17">
        <f t="shared" si="0"/>
        <v>20607</v>
      </c>
      <c r="F25" s="27">
        <f t="shared" si="1"/>
        <v>0.2077</v>
      </c>
      <c r="G25" s="9"/>
      <c r="H25" s="9"/>
    </row>
    <row r="26" spans="2:8" outlineLevel="1" x14ac:dyDescent="0.25">
      <c r="B26" s="11" t="s">
        <v>58</v>
      </c>
      <c r="C26" s="4">
        <v>5000342</v>
      </c>
      <c r="D26" s="4">
        <v>2095108</v>
      </c>
      <c r="E26" s="17">
        <f t="shared" si="0"/>
        <v>-2905234</v>
      </c>
      <c r="F26" s="27">
        <f t="shared" si="1"/>
        <v>-0.58099999999999996</v>
      </c>
      <c r="G26" s="9"/>
      <c r="H26" s="9"/>
    </row>
    <row r="27" spans="2:8" outlineLevel="1" x14ac:dyDescent="0.25">
      <c r="B27" s="11" t="s">
        <v>59</v>
      </c>
      <c r="C27" s="4">
        <v>33505</v>
      </c>
      <c r="D27" s="4">
        <v>33597</v>
      </c>
      <c r="E27" s="17">
        <f t="shared" si="0"/>
        <v>92</v>
      </c>
      <c r="F27" s="27">
        <f t="shared" si="1"/>
        <v>2.7000000000000001E-3</v>
      </c>
      <c r="G27" s="9"/>
      <c r="H27" s="9"/>
    </row>
    <row r="28" spans="2:8" outlineLevel="1" x14ac:dyDescent="0.25">
      <c r="B28" s="11" t="s">
        <v>71</v>
      </c>
      <c r="C28" s="4">
        <v>4787</v>
      </c>
      <c r="D28" s="4">
        <v>4875</v>
      </c>
      <c r="E28" s="17">
        <f t="shared" si="0"/>
        <v>88</v>
      </c>
      <c r="F28" s="27">
        <f t="shared" si="1"/>
        <v>1.84E-2</v>
      </c>
      <c r="G28" s="9"/>
      <c r="H28" s="9"/>
    </row>
    <row r="29" spans="2:8" outlineLevel="1" x14ac:dyDescent="0.25">
      <c r="B29" s="11" t="s">
        <v>60</v>
      </c>
      <c r="C29" s="4">
        <v>351760</v>
      </c>
      <c r="D29" s="4">
        <v>54169</v>
      </c>
      <c r="E29" s="17">
        <f t="shared" si="0"/>
        <v>-297591</v>
      </c>
      <c r="F29" s="27">
        <f t="shared" si="1"/>
        <v>-0.84599999999999997</v>
      </c>
      <c r="G29" s="9"/>
      <c r="H29" s="9"/>
    </row>
    <row r="30" spans="2:8" outlineLevel="1" x14ac:dyDescent="0.25">
      <c r="B30" s="11" t="s">
        <v>61</v>
      </c>
      <c r="C30" s="4">
        <v>2752848</v>
      </c>
      <c r="D30" s="6">
        <v>2767509</v>
      </c>
      <c r="E30" s="17">
        <f t="shared" si="0"/>
        <v>14661</v>
      </c>
      <c r="F30" s="27">
        <f t="shared" si="1"/>
        <v>5.3E-3</v>
      </c>
      <c r="G30" s="9"/>
      <c r="H30" s="9"/>
    </row>
    <row r="31" spans="2:8" outlineLevel="1" x14ac:dyDescent="0.25">
      <c r="B31" s="12" t="s">
        <v>62</v>
      </c>
      <c r="C31" s="4">
        <v>18524801</v>
      </c>
      <c r="D31" s="4">
        <v>-2725967</v>
      </c>
      <c r="E31" s="17">
        <f t="shared" si="0"/>
        <v>-21250768</v>
      </c>
      <c r="F31" s="27">
        <f t="shared" si="1"/>
        <v>-1.1472</v>
      </c>
      <c r="G31" s="9"/>
      <c r="H31" s="9"/>
    </row>
    <row r="32" spans="2:8" outlineLevel="1" x14ac:dyDescent="0.25">
      <c r="B32" s="12" t="s">
        <v>63</v>
      </c>
      <c r="C32" s="4">
        <v>18497438</v>
      </c>
      <c r="D32" s="4">
        <v>-2740099</v>
      </c>
      <c r="E32" s="17">
        <f t="shared" si="0"/>
        <v>-21237537</v>
      </c>
      <c r="F32" s="27">
        <f t="shared" si="1"/>
        <v>-1.1480999999999999</v>
      </c>
      <c r="G32" s="9"/>
      <c r="H32" s="9"/>
    </row>
    <row r="33" spans="2:6" x14ac:dyDescent="0.25">
      <c r="B33" s="12" t="s">
        <v>64</v>
      </c>
      <c r="C33" s="4">
        <v>32924055</v>
      </c>
      <c r="D33" s="4">
        <v>51421493</v>
      </c>
      <c r="E33" s="17">
        <f t="shared" ref="E33:E34" si="2">D33-C33</f>
        <v>18497438</v>
      </c>
      <c r="F33" s="27">
        <f t="shared" si="1"/>
        <v>0.56179999999999997</v>
      </c>
    </row>
    <row r="34" spans="2:6" ht="18.75" customHeight="1" x14ac:dyDescent="0.25">
      <c r="B34" s="12" t="s">
        <v>65</v>
      </c>
      <c r="C34" s="4">
        <v>140</v>
      </c>
      <c r="D34" s="4">
        <v>137</v>
      </c>
      <c r="E34" s="17">
        <f t="shared" si="2"/>
        <v>-3</v>
      </c>
      <c r="F34" s="27">
        <f t="shared" si="1"/>
        <v>-2.1399999999999999E-2</v>
      </c>
    </row>
    <row r="37" spans="2:6" ht="218.25" customHeight="1" x14ac:dyDescent="0.25"/>
    <row r="38" spans="2:6" ht="102.75" customHeight="1" x14ac:dyDescent="0.25"/>
    <row r="40" spans="2:6" ht="84.75" customHeight="1" x14ac:dyDescent="0.25"/>
    <row r="41" spans="2:6" ht="137.25" customHeight="1" x14ac:dyDescent="0.25"/>
    <row r="42" spans="2:6" ht="201.75" customHeight="1" x14ac:dyDescent="0.25"/>
    <row r="43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7F1B2-ACA0-410B-851F-86AC9A5733BE}">
  <sheetPr>
    <pageSetUpPr fitToPage="1"/>
  </sheetPr>
  <dimension ref="B2:I42"/>
  <sheetViews>
    <sheetView topLeftCell="B9" zoomScale="109" zoomScaleNormal="70" workbookViewId="0">
      <selection activeCell="D8" sqref="D8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72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-20790</v>
      </c>
      <c r="D4" s="13">
        <f>D30+D28+D29</f>
        <v>5117690</v>
      </c>
      <c r="E4" s="13">
        <f t="shared" ref="E4:E31" si="0">D4-C4</f>
        <v>5138480</v>
      </c>
      <c r="F4" s="14">
        <f>E4/C4</f>
        <v>-247.1611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-296.33999999999997</v>
      </c>
      <c r="D5" s="13">
        <f>D14/D4</f>
        <v>1.91</v>
      </c>
      <c r="E5" s="13">
        <f t="shared" si="0"/>
        <v>298.25</v>
      </c>
      <c r="F5" s="14">
        <f t="shared" ref="F5:F33" si="1">E5/C5</f>
        <v>-1.0064</v>
      </c>
      <c r="G5" s="10" t="s">
        <v>31</v>
      </c>
      <c r="H5" s="15">
        <f>IF(AND(D5&gt;0,D5&lt;4),1,0)</f>
        <v>1</v>
      </c>
    </row>
    <row r="6" spans="2:9" x14ac:dyDescent="0.25">
      <c r="B6" s="10" t="s">
        <v>33</v>
      </c>
      <c r="C6" s="13">
        <f>C11/C12</f>
        <v>9.59</v>
      </c>
      <c r="D6" s="13">
        <f>D11/D12</f>
        <v>5.29</v>
      </c>
      <c r="E6" s="13">
        <f t="shared" si="0"/>
        <v>-4.3</v>
      </c>
      <c r="F6" s="14">
        <f t="shared" si="1"/>
        <v>-0.44840000000000002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0.12</v>
      </c>
      <c r="D7" s="13">
        <f>D14/D16</f>
        <v>0.18</v>
      </c>
      <c r="E7" s="13">
        <f t="shared" si="0"/>
        <v>0.06</v>
      </c>
      <c r="F7" s="14">
        <f t="shared" si="1"/>
        <v>0.5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-0.02</v>
      </c>
      <c r="D8" s="13">
        <f>D4/(D28+D27+D26)</f>
        <v>54.35</v>
      </c>
      <c r="E8" s="13">
        <f t="shared" si="0"/>
        <v>54.37</v>
      </c>
      <c r="F8" s="14">
        <f t="shared" si="1"/>
        <v>-2718.5</v>
      </c>
      <c r="G8" s="10" t="s">
        <v>31</v>
      </c>
      <c r="H8" s="15">
        <f>IF(D8&lt;1.2,0,1)</f>
        <v>1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4.9800000000000004</v>
      </c>
      <c r="D9" s="13">
        <f>(0.717*((D11-D12))/D15)+(0.847*(D32/D15))+(3.107*((D30+D28)/D15))+(0.42*(D16/(D12+D13)))+(0.998*(D19/D15))</f>
        <v>4.7300000000000004</v>
      </c>
      <c r="E9" s="13">
        <f t="shared" si="0"/>
        <v>-0.25</v>
      </c>
      <c r="F9" s="14">
        <f>E9/C9</f>
        <v>-5.0200000000000002E-2</v>
      </c>
      <c r="G9" s="10" t="s">
        <v>34</v>
      </c>
      <c r="H9" s="15">
        <f>IF(D9&lt;1.23,0,IF(D9&lt;2.9,1,2))</f>
        <v>2</v>
      </c>
    </row>
    <row r="10" spans="2:9" x14ac:dyDescent="0.25">
      <c r="B10" s="10" t="s">
        <v>38</v>
      </c>
      <c r="C10" s="13">
        <f>(C24+C18)/C12</f>
        <v>7.12</v>
      </c>
      <c r="D10" s="13">
        <f>(D24+D18)/D12</f>
        <v>4.0599999999999996</v>
      </c>
      <c r="E10" s="13">
        <f t="shared" si="0"/>
        <v>-3.06</v>
      </c>
      <c r="F10" s="14">
        <f t="shared" si="1"/>
        <v>-0.42980000000000002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44765742</v>
      </c>
      <c r="D11" s="4">
        <v>45139373</v>
      </c>
      <c r="E11" s="17">
        <f t="shared" si="0"/>
        <v>373631</v>
      </c>
      <c r="F11" s="14">
        <f t="shared" si="1"/>
        <v>8.3000000000000001E-3</v>
      </c>
      <c r="G11" s="9"/>
      <c r="H11" s="9"/>
    </row>
    <row r="12" spans="2:9" outlineLevel="1" x14ac:dyDescent="0.25">
      <c r="B12" s="12" t="s">
        <v>40</v>
      </c>
      <c r="C12" s="4">
        <v>4665629</v>
      </c>
      <c r="D12" s="4">
        <v>8528708</v>
      </c>
      <c r="E12" s="17">
        <f t="shared" si="0"/>
        <v>3863079</v>
      </c>
      <c r="F12" s="14">
        <f t="shared" si="1"/>
        <v>0.82799999999999996</v>
      </c>
      <c r="G12" s="20"/>
      <c r="H12" s="9"/>
    </row>
    <row r="13" spans="2:9" outlineLevel="1" x14ac:dyDescent="0.25">
      <c r="B13" s="12" t="s">
        <v>41</v>
      </c>
      <c r="C13" s="4">
        <v>1495291</v>
      </c>
      <c r="D13" s="4">
        <v>1256276</v>
      </c>
      <c r="E13" s="17">
        <f t="shared" si="0"/>
        <v>-239015</v>
      </c>
      <c r="F13" s="14">
        <f t="shared" si="1"/>
        <v>-0.1598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6160920</v>
      </c>
      <c r="D14" s="4">
        <v>9784984</v>
      </c>
      <c r="E14" s="17">
        <f t="shared" si="0"/>
        <v>3624064</v>
      </c>
      <c r="F14" s="14">
        <f t="shared" si="1"/>
        <v>0.58819999999999995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57824372</v>
      </c>
      <c r="D15" s="4">
        <v>65050857</v>
      </c>
      <c r="E15" s="17">
        <f t="shared" si="0"/>
        <v>7226485</v>
      </c>
      <c r="F15" s="14">
        <f t="shared" si="1"/>
        <v>0.125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51663452</v>
      </c>
      <c r="D16" s="4">
        <v>55265873</v>
      </c>
      <c r="E16" s="17">
        <f t="shared" si="0"/>
        <v>3602421</v>
      </c>
      <c r="F16" s="14">
        <f t="shared" si="1"/>
        <v>6.9699999999999998E-2</v>
      </c>
      <c r="G16" s="33" t="s">
        <v>48</v>
      </c>
      <c r="H16" s="33"/>
      <c r="I16" s="8">
        <f>SUM(H4:H10)</f>
        <v>9</v>
      </c>
    </row>
    <row r="17" spans="2:8" outlineLevel="1" x14ac:dyDescent="0.25">
      <c r="B17" s="12" t="s">
        <v>49</v>
      </c>
      <c r="C17" s="4">
        <v>58368590</v>
      </c>
      <c r="D17" s="4">
        <v>61437615</v>
      </c>
      <c r="E17" s="17">
        <f t="shared" si="0"/>
        <v>3069025</v>
      </c>
      <c r="F17" s="14">
        <f t="shared" si="1"/>
        <v>5.2600000000000001E-2</v>
      </c>
      <c r="G17" s="9"/>
    </row>
    <row r="18" spans="2:8" outlineLevel="1" x14ac:dyDescent="0.25">
      <c r="B18" s="11" t="s">
        <v>50</v>
      </c>
      <c r="C18" s="4">
        <v>11874157</v>
      </c>
      <c r="D18" s="4">
        <v>8109102</v>
      </c>
      <c r="E18" s="17">
        <f t="shared" si="0"/>
        <v>-3765055</v>
      </c>
      <c r="F18" s="14">
        <f t="shared" si="1"/>
        <v>-0.31709999999999999</v>
      </c>
      <c r="G18" s="9"/>
      <c r="H18" s="9"/>
    </row>
    <row r="19" spans="2:8" outlineLevel="1" x14ac:dyDescent="0.25">
      <c r="B19" s="11" t="s">
        <v>51</v>
      </c>
      <c r="C19" s="4">
        <v>20164578</v>
      </c>
      <c r="D19" s="4">
        <v>81193111</v>
      </c>
      <c r="E19" s="17">
        <f t="shared" si="0"/>
        <v>61028533</v>
      </c>
      <c r="F19" s="14">
        <f t="shared" si="1"/>
        <v>3.0265</v>
      </c>
      <c r="G19" s="9"/>
      <c r="H19" s="9"/>
    </row>
    <row r="20" spans="2:8" outlineLevel="1" x14ac:dyDescent="0.25">
      <c r="B20" s="12" t="s">
        <v>52</v>
      </c>
      <c r="C20" s="4">
        <v>16498091</v>
      </c>
      <c r="D20" s="4">
        <v>62515155</v>
      </c>
      <c r="E20" s="17">
        <f t="shared" si="0"/>
        <v>46017064</v>
      </c>
      <c r="F20" s="14">
        <f t="shared" si="1"/>
        <v>2.7892000000000001</v>
      </c>
      <c r="G20" s="9"/>
      <c r="H20" s="9"/>
    </row>
    <row r="21" spans="2:8" outlineLevel="1" x14ac:dyDescent="0.25">
      <c r="B21" s="11" t="s">
        <v>53</v>
      </c>
      <c r="C21" s="4">
        <v>3666487</v>
      </c>
      <c r="D21" s="4">
        <v>18677956</v>
      </c>
      <c r="E21" s="17">
        <f t="shared" si="0"/>
        <v>15011469</v>
      </c>
      <c r="F21" s="14">
        <f t="shared" si="1"/>
        <v>4.0941999999999998</v>
      </c>
      <c r="G21" s="9"/>
      <c r="H21" s="9"/>
    </row>
    <row r="22" spans="2:8" outlineLevel="1" x14ac:dyDescent="0.25">
      <c r="B22" s="11" t="s">
        <v>54</v>
      </c>
      <c r="C22" s="4">
        <v>527339</v>
      </c>
      <c r="D22" s="4">
        <v>3830115</v>
      </c>
      <c r="E22" s="17">
        <f t="shared" si="0"/>
        <v>3302776</v>
      </c>
      <c r="F22" s="14">
        <f t="shared" si="1"/>
        <v>6.2630999999999997</v>
      </c>
      <c r="G22" s="9"/>
      <c r="H22" s="9"/>
    </row>
    <row r="23" spans="2:8" outlineLevel="1" x14ac:dyDescent="0.25">
      <c r="B23" s="11" t="s">
        <v>55</v>
      </c>
      <c r="C23" s="4">
        <v>66758</v>
      </c>
      <c r="D23" s="4">
        <v>267068</v>
      </c>
      <c r="E23" s="17">
        <f t="shared" si="0"/>
        <v>200310</v>
      </c>
      <c r="F23" s="14">
        <f t="shared" si="1"/>
        <v>3.0005000000000002</v>
      </c>
      <c r="G23" s="9"/>
      <c r="H23" s="9"/>
    </row>
    <row r="24" spans="2:8" outlineLevel="1" x14ac:dyDescent="0.25">
      <c r="B24" s="11" t="s">
        <v>56</v>
      </c>
      <c r="C24" s="4">
        <v>21348745</v>
      </c>
      <c r="D24" s="4">
        <v>26520412</v>
      </c>
      <c r="E24" s="17">
        <f t="shared" si="0"/>
        <v>5171667</v>
      </c>
      <c r="F24" s="14">
        <f t="shared" si="1"/>
        <v>0.2422</v>
      </c>
      <c r="G24" s="9"/>
      <c r="H24" s="9"/>
    </row>
    <row r="25" spans="2:8" outlineLevel="1" x14ac:dyDescent="0.25">
      <c r="B25" s="11" t="s">
        <v>57</v>
      </c>
      <c r="C25" s="4">
        <v>0</v>
      </c>
      <c r="D25" s="4">
        <v>0</v>
      </c>
      <c r="E25" s="17">
        <f t="shared" si="0"/>
        <v>0</v>
      </c>
      <c r="F25" s="14" t="e">
        <f t="shared" si="1"/>
        <v>#DIV/0!</v>
      </c>
      <c r="G25" s="9"/>
      <c r="H25" s="9"/>
    </row>
    <row r="26" spans="2:8" outlineLevel="1" x14ac:dyDescent="0.25">
      <c r="B26" s="11" t="s">
        <v>58</v>
      </c>
      <c r="C26" s="4">
        <v>0</v>
      </c>
      <c r="D26" s="4">
        <v>0</v>
      </c>
      <c r="E26" s="17">
        <f t="shared" si="0"/>
        <v>0</v>
      </c>
      <c r="F26" s="14" t="e">
        <f t="shared" si="1"/>
        <v>#DIV/0!</v>
      </c>
      <c r="G26" s="9"/>
      <c r="H26" s="9"/>
    </row>
    <row r="27" spans="2:8" outlineLevel="1" x14ac:dyDescent="0.25">
      <c r="B27" s="11" t="s">
        <v>59</v>
      </c>
      <c r="C27" s="4">
        <v>0</v>
      </c>
      <c r="D27" s="4">
        <v>0</v>
      </c>
      <c r="E27" s="17">
        <f t="shared" si="0"/>
        <v>0</v>
      </c>
      <c r="F27" s="14" t="e">
        <f t="shared" si="1"/>
        <v>#DIV/0!</v>
      </c>
      <c r="G27" s="9"/>
      <c r="H27" s="9"/>
    </row>
    <row r="28" spans="2:8" outlineLevel="1" x14ac:dyDescent="0.25">
      <c r="B28" s="11" t="s">
        <v>60</v>
      </c>
      <c r="C28" s="4">
        <v>1376218</v>
      </c>
      <c r="D28" s="4">
        <v>94160</v>
      </c>
      <c r="E28" s="17">
        <f t="shared" si="0"/>
        <v>-1282058</v>
      </c>
      <c r="F28" s="14">
        <f t="shared" si="1"/>
        <v>-0.93159999999999998</v>
      </c>
      <c r="G28" s="9"/>
      <c r="H28" s="9"/>
    </row>
    <row r="29" spans="2:8" outlineLevel="1" x14ac:dyDescent="0.25">
      <c r="B29" s="11" t="s">
        <v>61</v>
      </c>
      <c r="C29" s="4">
        <v>317674</v>
      </c>
      <c r="D29" s="6">
        <v>1384242</v>
      </c>
      <c r="E29" s="17">
        <f t="shared" si="0"/>
        <v>1066568</v>
      </c>
      <c r="F29" s="14">
        <f t="shared" si="1"/>
        <v>3.3574000000000002</v>
      </c>
      <c r="G29" s="9"/>
      <c r="H29" s="9"/>
    </row>
    <row r="30" spans="2:8" outlineLevel="1" x14ac:dyDescent="0.25">
      <c r="B30" s="12" t="s">
        <v>62</v>
      </c>
      <c r="C30" s="4">
        <v>-1714682</v>
      </c>
      <c r="D30" s="4">
        <v>3639288</v>
      </c>
      <c r="E30" s="17">
        <f t="shared" si="0"/>
        <v>5353970</v>
      </c>
      <c r="F30" s="14">
        <f t="shared" si="1"/>
        <v>-3.1223999999999998</v>
      </c>
      <c r="G30" s="9"/>
      <c r="H30" s="9"/>
    </row>
    <row r="31" spans="2:8" outlineLevel="1" x14ac:dyDescent="0.25">
      <c r="B31" s="12" t="s">
        <v>63</v>
      </c>
      <c r="C31" s="4">
        <v>-1715248</v>
      </c>
      <c r="D31" s="4">
        <v>3637933</v>
      </c>
      <c r="E31" s="17">
        <f t="shared" si="0"/>
        <v>5353181</v>
      </c>
      <c r="F31" s="14">
        <f t="shared" si="1"/>
        <v>-3.1208999999999998</v>
      </c>
      <c r="G31" s="9"/>
      <c r="H31" s="9"/>
    </row>
    <row r="32" spans="2:8" x14ac:dyDescent="0.25">
      <c r="B32" s="12" t="s">
        <v>64</v>
      </c>
      <c r="C32" s="4">
        <v>42809232</v>
      </c>
      <c r="D32" s="4">
        <v>41093984</v>
      </c>
      <c r="E32" s="17">
        <f t="shared" ref="E32:E33" si="2">D32-C32</f>
        <v>-1715248</v>
      </c>
      <c r="F32" s="14">
        <f t="shared" si="1"/>
        <v>-4.0099999999999997E-2</v>
      </c>
    </row>
    <row r="33" spans="2:6" ht="18.75" customHeight="1" x14ac:dyDescent="0.25">
      <c r="B33" s="12" t="s">
        <v>65</v>
      </c>
      <c r="C33" s="4">
        <v>169</v>
      </c>
      <c r="D33" s="4">
        <v>185</v>
      </c>
      <c r="E33" s="17">
        <f t="shared" si="2"/>
        <v>16</v>
      </c>
      <c r="F33" s="14">
        <f t="shared" si="1"/>
        <v>9.4700000000000006E-2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D160-47E1-4ABD-AF6E-7E3D7EEE31E6}">
  <sheetPr>
    <pageSetUpPr fitToPage="1"/>
  </sheetPr>
  <dimension ref="B2:I42"/>
  <sheetViews>
    <sheetView topLeftCell="B1" zoomScale="90" zoomScaleNormal="90" workbookViewId="0">
      <selection activeCell="D8" sqref="D8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85546875" style="1" bestFit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73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22918573</v>
      </c>
      <c r="D4" s="13">
        <f>D30+D28+D29</f>
        <v>9417755</v>
      </c>
      <c r="E4" s="13">
        <f t="shared" ref="E4:E33" si="0">D4-C4</f>
        <v>-13500818</v>
      </c>
      <c r="F4" s="14">
        <f>E4/C4</f>
        <v>-0.58909999999999996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2.0299999999999998</v>
      </c>
      <c r="D5" s="13">
        <f>D14/D4</f>
        <v>5.77</v>
      </c>
      <c r="E5" s="13">
        <f t="shared" si="0"/>
        <v>3.74</v>
      </c>
      <c r="F5" s="14">
        <f t="shared" ref="F5:F33" si="1">E5/C5</f>
        <v>1.8424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29.31</v>
      </c>
      <c r="D6" s="13">
        <f>D11/D12</f>
        <v>21.14</v>
      </c>
      <c r="E6" s="13">
        <f t="shared" si="0"/>
        <v>-8.17</v>
      </c>
      <c r="F6" s="14">
        <f t="shared" si="1"/>
        <v>-0.2787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0.43</v>
      </c>
      <c r="D7" s="13">
        <f>D14/D16</f>
        <v>0.51</v>
      </c>
      <c r="E7" s="13">
        <f t="shared" si="0"/>
        <v>0.08</v>
      </c>
      <c r="F7" s="14">
        <f t="shared" si="1"/>
        <v>0.186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16.16</v>
      </c>
      <c r="D8" s="13">
        <f>D4/(D28+D27+D26)</f>
        <v>6.08</v>
      </c>
      <c r="E8" s="13">
        <f t="shared" si="0"/>
        <v>-10.08</v>
      </c>
      <c r="F8" s="14">
        <f t="shared" si="1"/>
        <v>-0.62380000000000002</v>
      </c>
      <c r="G8" s="10" t="s">
        <v>31</v>
      </c>
      <c r="H8" s="15">
        <f>IF(D8&lt;1.2,0,1)</f>
        <v>1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3.15</v>
      </c>
      <c r="D9" s="13">
        <f>(0.717*((D11-D12))/D15)+(0.847*(D32/D15))+(3.107*((D30+D28)/D15))+(0.42*(D16/(D12+D13)))+(0.998*(D19/D15))</f>
        <v>2.58</v>
      </c>
      <c r="E9" s="13">
        <f t="shared" si="0"/>
        <v>-0.56999999999999995</v>
      </c>
      <c r="F9" s="14">
        <f t="shared" si="1"/>
        <v>-0.18099999999999999</v>
      </c>
      <c r="G9" s="10" t="s">
        <v>34</v>
      </c>
      <c r="H9" s="15">
        <f>IF(D9&lt;1.23,0,IF(D9&lt;2.9,1,2))</f>
        <v>1</v>
      </c>
    </row>
    <row r="10" spans="2:9" x14ac:dyDescent="0.25">
      <c r="B10" s="10" t="s">
        <v>38</v>
      </c>
      <c r="C10" s="13">
        <f>(C24+C18)/C12</f>
        <v>23.45</v>
      </c>
      <c r="D10" s="13">
        <f>(D24+D18)/D12</f>
        <v>12.69</v>
      </c>
      <c r="E10" s="13">
        <f t="shared" si="0"/>
        <v>-10.76</v>
      </c>
      <c r="F10" s="14">
        <f t="shared" si="1"/>
        <v>-0.45879999999999999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137368490</v>
      </c>
      <c r="D11" s="4">
        <v>134662094</v>
      </c>
      <c r="E11" s="17">
        <f t="shared" si="0"/>
        <v>-2706396</v>
      </c>
      <c r="F11" s="27">
        <f t="shared" si="1"/>
        <v>-1.9699999999999999E-2</v>
      </c>
      <c r="G11" s="9"/>
      <c r="H11" s="9"/>
    </row>
    <row r="12" spans="2:9" outlineLevel="1" x14ac:dyDescent="0.25">
      <c r="B12" s="12" t="s">
        <v>40</v>
      </c>
      <c r="C12" s="4">
        <v>4686912</v>
      </c>
      <c r="D12" s="4">
        <v>6370857</v>
      </c>
      <c r="E12" s="17">
        <f t="shared" si="0"/>
        <v>1683945</v>
      </c>
      <c r="F12" s="27">
        <f t="shared" si="1"/>
        <v>0.35930000000000001</v>
      </c>
      <c r="G12" s="20"/>
      <c r="H12" s="9"/>
    </row>
    <row r="13" spans="2:9" outlineLevel="1" x14ac:dyDescent="0.25">
      <c r="B13" s="12" t="s">
        <v>41</v>
      </c>
      <c r="C13" s="4">
        <v>41725102</v>
      </c>
      <c r="D13" s="4">
        <v>47960269</v>
      </c>
      <c r="E13" s="17">
        <f t="shared" si="0"/>
        <v>6235167</v>
      </c>
      <c r="F13" s="27">
        <f t="shared" si="1"/>
        <v>0.14940000000000001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46412014</v>
      </c>
      <c r="D14" s="4">
        <v>54331126</v>
      </c>
      <c r="E14" s="17">
        <f t="shared" si="0"/>
        <v>7919112</v>
      </c>
      <c r="F14" s="27">
        <f t="shared" si="1"/>
        <v>0.1706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155045709</v>
      </c>
      <c r="D15" s="4">
        <v>161395080</v>
      </c>
      <c r="E15" s="17">
        <f t="shared" si="0"/>
        <v>6349371</v>
      </c>
      <c r="F15" s="27">
        <f t="shared" si="1"/>
        <v>4.1000000000000002E-2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108633695</v>
      </c>
      <c r="D16" s="4">
        <v>107063954</v>
      </c>
      <c r="E16" s="17">
        <f t="shared" si="0"/>
        <v>-1569741</v>
      </c>
      <c r="F16" s="27">
        <f t="shared" si="1"/>
        <v>-1.44E-2</v>
      </c>
      <c r="G16" s="33" t="s">
        <v>48</v>
      </c>
      <c r="H16" s="33"/>
      <c r="I16" s="8">
        <f>SUM(H4:H10)</f>
        <v>7</v>
      </c>
    </row>
    <row r="17" spans="2:8" outlineLevel="1" x14ac:dyDescent="0.25">
      <c r="B17" s="12" t="s">
        <v>49</v>
      </c>
      <c r="C17" s="4">
        <v>145670267</v>
      </c>
      <c r="D17" s="4">
        <v>158220395</v>
      </c>
      <c r="E17" s="17">
        <f t="shared" si="0"/>
        <v>12550128</v>
      </c>
      <c r="F17" s="27">
        <f t="shared" si="1"/>
        <v>8.6199999999999999E-2</v>
      </c>
      <c r="G17" s="9"/>
    </row>
    <row r="18" spans="2:8" outlineLevel="1" x14ac:dyDescent="0.25">
      <c r="B18" s="11" t="s">
        <v>50</v>
      </c>
      <c r="C18" s="4">
        <v>6387609</v>
      </c>
      <c r="D18" s="4">
        <v>7994308</v>
      </c>
      <c r="E18" s="17">
        <f t="shared" si="0"/>
        <v>1606699</v>
      </c>
      <c r="F18" s="27">
        <f t="shared" si="1"/>
        <v>0.2515</v>
      </c>
      <c r="G18" s="9"/>
      <c r="H18" s="9"/>
    </row>
    <row r="19" spans="2:8" outlineLevel="1" x14ac:dyDescent="0.25">
      <c r="B19" s="11" t="s">
        <v>51</v>
      </c>
      <c r="C19" s="4">
        <v>101250653</v>
      </c>
      <c r="D19" s="4">
        <v>81396657</v>
      </c>
      <c r="E19" s="17">
        <f t="shared" si="0"/>
        <v>-19853996</v>
      </c>
      <c r="F19" s="27">
        <f t="shared" si="1"/>
        <v>-0.1961</v>
      </c>
      <c r="G19" s="9"/>
      <c r="H19" s="9"/>
    </row>
    <row r="20" spans="2:8" outlineLevel="1" x14ac:dyDescent="0.25">
      <c r="B20" s="12" t="s">
        <v>52</v>
      </c>
      <c r="C20" s="4">
        <v>64326748</v>
      </c>
      <c r="D20" s="4">
        <v>64235969</v>
      </c>
      <c r="E20" s="17">
        <f t="shared" si="0"/>
        <v>-90779</v>
      </c>
      <c r="F20" s="27">
        <f t="shared" si="1"/>
        <v>-1.4E-3</v>
      </c>
      <c r="G20" s="9"/>
      <c r="H20" s="9"/>
    </row>
    <row r="21" spans="2:8" outlineLevel="1" x14ac:dyDescent="0.25">
      <c r="B21" s="11" t="s">
        <v>53</v>
      </c>
      <c r="C21" s="4">
        <v>36923905</v>
      </c>
      <c r="D21" s="4">
        <v>17160688</v>
      </c>
      <c r="E21" s="17">
        <f t="shared" si="0"/>
        <v>-19763217</v>
      </c>
      <c r="F21" s="27">
        <f t="shared" si="1"/>
        <v>-0.53520000000000001</v>
      </c>
      <c r="G21" s="9"/>
      <c r="H21" s="9"/>
    </row>
    <row r="22" spans="2:8" outlineLevel="1" x14ac:dyDescent="0.25">
      <c r="B22" s="11" t="s">
        <v>54</v>
      </c>
      <c r="C22" s="4">
        <v>3426592</v>
      </c>
      <c r="D22" s="4">
        <v>3822829</v>
      </c>
      <c r="E22" s="17">
        <f t="shared" si="0"/>
        <v>396237</v>
      </c>
      <c r="F22" s="27">
        <f t="shared" si="1"/>
        <v>0.11559999999999999</v>
      </c>
      <c r="G22" s="9"/>
      <c r="H22" s="9"/>
    </row>
    <row r="23" spans="2:8" outlineLevel="1" x14ac:dyDescent="0.25">
      <c r="B23" s="11" t="s">
        <v>55</v>
      </c>
      <c r="C23" s="4">
        <v>416511</v>
      </c>
      <c r="D23" s="4">
        <v>90454</v>
      </c>
      <c r="E23" s="17">
        <f t="shared" si="0"/>
        <v>-326057</v>
      </c>
      <c r="F23" s="27">
        <f t="shared" si="1"/>
        <v>-0.78280000000000005</v>
      </c>
      <c r="G23" s="9"/>
      <c r="H23" s="9"/>
    </row>
    <row r="24" spans="2:8" outlineLevel="1" x14ac:dyDescent="0.25">
      <c r="B24" s="11" t="s">
        <v>56</v>
      </c>
      <c r="C24" s="4">
        <v>103525668</v>
      </c>
      <c r="D24" s="4">
        <v>72833520</v>
      </c>
      <c r="E24" s="17">
        <f t="shared" si="0"/>
        <v>-30692148</v>
      </c>
      <c r="F24" s="27">
        <f t="shared" si="1"/>
        <v>-0.29649999999999999</v>
      </c>
      <c r="G24" s="9"/>
      <c r="H24" s="9"/>
    </row>
    <row r="25" spans="2:8" outlineLevel="1" x14ac:dyDescent="0.25">
      <c r="B25" s="11" t="s">
        <v>57</v>
      </c>
      <c r="C25" s="4">
        <v>548365</v>
      </c>
      <c r="D25" s="4">
        <v>777006</v>
      </c>
      <c r="E25" s="17">
        <f t="shared" si="0"/>
        <v>228641</v>
      </c>
      <c r="F25" s="27">
        <f t="shared" si="1"/>
        <v>0.41699999999999998</v>
      </c>
      <c r="G25" s="9"/>
      <c r="H25" s="9"/>
    </row>
    <row r="26" spans="2:8" outlineLevel="1" x14ac:dyDescent="0.25">
      <c r="B26" s="11" t="s">
        <v>58</v>
      </c>
      <c r="C26" s="4">
        <v>0</v>
      </c>
      <c r="D26" s="4">
        <v>303347</v>
      </c>
      <c r="E26" s="17">
        <f t="shared" si="0"/>
        <v>303347</v>
      </c>
      <c r="F26" s="27" t="e">
        <f t="shared" si="1"/>
        <v>#DIV/0!</v>
      </c>
      <c r="G26" s="9"/>
      <c r="H26" s="9"/>
    </row>
    <row r="27" spans="2:8" outlineLevel="1" x14ac:dyDescent="0.25">
      <c r="B27" s="11" t="s">
        <v>59</v>
      </c>
      <c r="C27" s="4">
        <v>0</v>
      </c>
      <c r="D27" s="4">
        <v>0</v>
      </c>
      <c r="E27" s="17">
        <f t="shared" si="0"/>
        <v>0</v>
      </c>
      <c r="F27" s="27" t="e">
        <f t="shared" si="1"/>
        <v>#DIV/0!</v>
      </c>
      <c r="G27" s="9"/>
      <c r="H27" s="9"/>
    </row>
    <row r="28" spans="2:8" outlineLevel="1" x14ac:dyDescent="0.25">
      <c r="B28" s="11" t="s">
        <v>60</v>
      </c>
      <c r="C28" s="4">
        <v>1417904</v>
      </c>
      <c r="D28" s="4">
        <v>1246671</v>
      </c>
      <c r="E28" s="17">
        <f t="shared" si="0"/>
        <v>-171233</v>
      </c>
      <c r="F28" s="27">
        <f t="shared" si="1"/>
        <v>-0.1208</v>
      </c>
      <c r="G28" s="9"/>
      <c r="H28" s="9"/>
    </row>
    <row r="29" spans="2:8" outlineLevel="1" x14ac:dyDescent="0.25">
      <c r="B29" s="11" t="s">
        <v>61</v>
      </c>
      <c r="C29" s="4">
        <v>1884805</v>
      </c>
      <c r="D29" s="6">
        <v>2035403</v>
      </c>
      <c r="E29" s="17">
        <f t="shared" si="0"/>
        <v>150598</v>
      </c>
      <c r="F29" s="27">
        <f t="shared" si="1"/>
        <v>7.9899999999999999E-2</v>
      </c>
      <c r="G29" s="9"/>
      <c r="H29" s="9"/>
    </row>
    <row r="30" spans="2:8" outlineLevel="1" x14ac:dyDescent="0.25">
      <c r="B30" s="12" t="s">
        <v>62</v>
      </c>
      <c r="C30" s="4">
        <v>19615864</v>
      </c>
      <c r="D30" s="4">
        <v>6135681</v>
      </c>
      <c r="E30" s="17">
        <f t="shared" si="0"/>
        <v>-13480183</v>
      </c>
      <c r="F30" s="27">
        <f t="shared" si="1"/>
        <v>-0.68720000000000003</v>
      </c>
      <c r="G30" s="9"/>
      <c r="H30" s="9"/>
    </row>
    <row r="31" spans="2:8" outlineLevel="1" x14ac:dyDescent="0.25">
      <c r="B31" s="12" t="s">
        <v>63</v>
      </c>
      <c r="C31" s="4">
        <v>19614940</v>
      </c>
      <c r="D31" s="4">
        <v>4968899</v>
      </c>
      <c r="E31" s="17">
        <f t="shared" si="0"/>
        <v>-14646041</v>
      </c>
      <c r="F31" s="27">
        <f t="shared" si="1"/>
        <v>-0.74670000000000003</v>
      </c>
      <c r="G31" s="9"/>
      <c r="H31" s="9"/>
    </row>
    <row r="32" spans="2:8" x14ac:dyDescent="0.25">
      <c r="B32" s="12" t="s">
        <v>64</v>
      </c>
      <c r="C32" s="4">
        <v>88682815</v>
      </c>
      <c r="D32" s="4">
        <v>101759115</v>
      </c>
      <c r="E32" s="17">
        <f t="shared" si="0"/>
        <v>13076300</v>
      </c>
      <c r="F32" s="27">
        <f t="shared" si="1"/>
        <v>0.14749999999999999</v>
      </c>
    </row>
    <row r="33" spans="2:6" ht="18.75" customHeight="1" x14ac:dyDescent="0.25">
      <c r="B33" s="12" t="s">
        <v>65</v>
      </c>
      <c r="C33" s="4">
        <v>272</v>
      </c>
      <c r="D33" s="4">
        <v>253</v>
      </c>
      <c r="E33" s="17">
        <f t="shared" si="0"/>
        <v>-19</v>
      </c>
      <c r="F33" s="27">
        <f t="shared" si="1"/>
        <v>-6.9900000000000004E-2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0F70-57A6-4314-944B-6702BEA77F9C}">
  <sheetPr>
    <pageSetUpPr fitToPage="1"/>
  </sheetPr>
  <dimension ref="B2:I42"/>
  <sheetViews>
    <sheetView topLeftCell="B3" zoomScale="102" zoomScaleNormal="70" workbookViewId="0">
      <selection activeCell="G20" sqref="G20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74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15310431</v>
      </c>
      <c r="D4" s="13">
        <f>D30+D28+D29</f>
        <v>107766</v>
      </c>
      <c r="E4" s="13">
        <f t="shared" ref="E4:E33" si="0">D4-C4</f>
        <v>-15202665</v>
      </c>
      <c r="F4" s="14">
        <f>E4/C4</f>
        <v>-0.99299999999999999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1.39</v>
      </c>
      <c r="D5" s="13">
        <f>D14/D4</f>
        <v>658.19</v>
      </c>
      <c r="E5" s="13">
        <f t="shared" si="0"/>
        <v>656.8</v>
      </c>
      <c r="F5" s="14">
        <f t="shared" ref="F5:F33" si="1">E5/C5</f>
        <v>472.51799999999997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1.1299999999999999</v>
      </c>
      <c r="D6" s="13">
        <f>D11/D12</f>
        <v>0.57999999999999996</v>
      </c>
      <c r="E6" s="13">
        <f t="shared" si="0"/>
        <v>-0.55000000000000004</v>
      </c>
      <c r="F6" s="14">
        <f t="shared" si="1"/>
        <v>-0.48670000000000002</v>
      </c>
      <c r="G6" s="10" t="s">
        <v>34</v>
      </c>
      <c r="H6" s="15">
        <f>IF(D6&lt;1,0,IF(D6&lt;2,1,2))</f>
        <v>0</v>
      </c>
    </row>
    <row r="7" spans="2:9" x14ac:dyDescent="0.25">
      <c r="B7" s="10" t="s">
        <v>35</v>
      </c>
      <c r="C7" s="13">
        <f>C14/C16</f>
        <v>0.36</v>
      </c>
      <c r="D7" s="13">
        <f>D14/D16</f>
        <v>1.28</v>
      </c>
      <c r="E7" s="13">
        <f t="shared" si="0"/>
        <v>0.92</v>
      </c>
      <c r="F7" s="14">
        <f t="shared" si="1"/>
        <v>2.5556000000000001</v>
      </c>
      <c r="G7" s="10" t="s">
        <v>31</v>
      </c>
      <c r="H7" s="15">
        <f>IF(D7&lt;0.7,1,0)</f>
        <v>0</v>
      </c>
    </row>
    <row r="8" spans="2:9" x14ac:dyDescent="0.25">
      <c r="B8" s="10" t="s">
        <v>36</v>
      </c>
      <c r="C8" s="13">
        <f>C4/(C28+C27+C26)</f>
        <v>77.16</v>
      </c>
      <c r="D8" s="13">
        <f>D4/(D28+D27+D26)</f>
        <v>0.05</v>
      </c>
      <c r="E8" s="13">
        <f t="shared" si="0"/>
        <v>-77.11</v>
      </c>
      <c r="F8" s="14">
        <f t="shared" si="1"/>
        <v>-0.99939999999999996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3.21</v>
      </c>
      <c r="D9" s="13">
        <f>(0.717*((D11-D12))/D15)+(0.847*(D32/D15))+(3.107*((D30+D28)/D15))+(0.42*(D16/(D12+D13)))+(0.998*(D19/D15))</f>
        <v>1.08</v>
      </c>
      <c r="E9" s="13">
        <f t="shared" si="0"/>
        <v>-2.13</v>
      </c>
      <c r="F9" s="14">
        <f t="shared" si="1"/>
        <v>-0.66359999999999997</v>
      </c>
      <c r="G9" s="10" t="s">
        <v>34</v>
      </c>
      <c r="H9" s="15">
        <f>IF(D9&lt;1.23,0,IF(D9&lt;2.9,1,2))</f>
        <v>0</v>
      </c>
    </row>
    <row r="10" spans="2:9" x14ac:dyDescent="0.25">
      <c r="B10" s="10" t="s">
        <v>38</v>
      </c>
      <c r="C10" s="13">
        <f>(C24+C18)/C12</f>
        <v>0.31</v>
      </c>
      <c r="D10" s="13">
        <f>(D24+D18)/D12</f>
        <v>0.21</v>
      </c>
      <c r="E10" s="13">
        <f t="shared" si="0"/>
        <v>-0.1</v>
      </c>
      <c r="F10" s="14">
        <f t="shared" si="1"/>
        <v>-0.3226</v>
      </c>
      <c r="G10" s="16" t="s">
        <v>31</v>
      </c>
      <c r="H10" s="15">
        <f>IF(D10&gt;1,1,0)</f>
        <v>0</v>
      </c>
    </row>
    <row r="11" spans="2:9" outlineLevel="1" x14ac:dyDescent="0.25">
      <c r="B11" s="11" t="s">
        <v>39</v>
      </c>
      <c r="C11" s="4">
        <v>19096680</v>
      </c>
      <c r="D11" s="4">
        <v>13011839</v>
      </c>
      <c r="E11" s="17">
        <f t="shared" si="0"/>
        <v>-6084841</v>
      </c>
      <c r="F11" s="27">
        <f t="shared" si="1"/>
        <v>-0.31859999999999999</v>
      </c>
      <c r="G11" s="9"/>
      <c r="H11" s="9"/>
    </row>
    <row r="12" spans="2:9" outlineLevel="1" x14ac:dyDescent="0.25">
      <c r="B12" s="12" t="s">
        <v>40</v>
      </c>
      <c r="C12" s="4">
        <v>16847484</v>
      </c>
      <c r="D12" s="4">
        <v>22484178</v>
      </c>
      <c r="E12" s="17">
        <f t="shared" si="0"/>
        <v>5636694</v>
      </c>
      <c r="F12" s="27">
        <f t="shared" si="1"/>
        <v>0.33460000000000001</v>
      </c>
      <c r="G12" s="20"/>
      <c r="H12" s="9"/>
    </row>
    <row r="13" spans="2:9" outlineLevel="1" x14ac:dyDescent="0.25">
      <c r="B13" s="12" t="s">
        <v>41</v>
      </c>
      <c r="C13" s="4">
        <v>4397560</v>
      </c>
      <c r="D13" s="4">
        <v>48446370</v>
      </c>
      <c r="E13" s="17">
        <f t="shared" si="0"/>
        <v>44048810</v>
      </c>
      <c r="F13" s="27">
        <f t="shared" si="1"/>
        <v>10.0166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21245044</v>
      </c>
      <c r="D14" s="4">
        <v>70930548</v>
      </c>
      <c r="E14" s="17">
        <f t="shared" si="0"/>
        <v>49685504</v>
      </c>
      <c r="F14" s="27">
        <f t="shared" si="1"/>
        <v>2.3386999999999998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79873313</v>
      </c>
      <c r="D15" s="4">
        <v>126403666</v>
      </c>
      <c r="E15" s="17">
        <f t="shared" si="0"/>
        <v>46530353</v>
      </c>
      <c r="F15" s="27">
        <f t="shared" si="1"/>
        <v>0.58260000000000001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58628269</v>
      </c>
      <c r="D16" s="4">
        <v>55473118</v>
      </c>
      <c r="E16" s="17">
        <f t="shared" si="0"/>
        <v>-3155151</v>
      </c>
      <c r="F16" s="27">
        <f t="shared" si="1"/>
        <v>-5.3800000000000001E-2</v>
      </c>
      <c r="G16" s="33" t="s">
        <v>48</v>
      </c>
      <c r="H16" s="33"/>
      <c r="I16" s="8">
        <f>SUM(H4:H10)</f>
        <v>1</v>
      </c>
    </row>
    <row r="17" spans="2:8" outlineLevel="1" x14ac:dyDescent="0.25">
      <c r="B17" s="12" t="s">
        <v>49</v>
      </c>
      <c r="C17" s="4">
        <v>66833585</v>
      </c>
      <c r="D17" s="4">
        <v>103138490</v>
      </c>
      <c r="E17" s="17">
        <f t="shared" si="0"/>
        <v>36304905</v>
      </c>
      <c r="F17" s="27">
        <f t="shared" si="1"/>
        <v>0.54320000000000002</v>
      </c>
      <c r="G17" s="9"/>
    </row>
    <row r="18" spans="2:8" outlineLevel="1" x14ac:dyDescent="0.25">
      <c r="B18" s="11" t="s">
        <v>50</v>
      </c>
      <c r="C18" s="4">
        <v>3716854</v>
      </c>
      <c r="D18" s="4">
        <v>3942665</v>
      </c>
      <c r="E18" s="17">
        <f t="shared" si="0"/>
        <v>225811</v>
      </c>
      <c r="F18" s="27">
        <f t="shared" si="1"/>
        <v>6.08E-2</v>
      </c>
      <c r="G18" s="9"/>
      <c r="H18" s="9"/>
    </row>
    <row r="19" spans="2:8" outlineLevel="1" x14ac:dyDescent="0.25">
      <c r="B19" s="11" t="s">
        <v>51</v>
      </c>
      <c r="C19" s="4">
        <v>90499158</v>
      </c>
      <c r="D19" s="4">
        <v>66483710</v>
      </c>
      <c r="E19" s="17">
        <f t="shared" si="0"/>
        <v>-24015448</v>
      </c>
      <c r="F19" s="27">
        <f t="shared" si="1"/>
        <v>-0.26540000000000002</v>
      </c>
      <c r="G19" s="9"/>
      <c r="H19" s="9"/>
    </row>
    <row r="20" spans="2:8" outlineLevel="1" x14ac:dyDescent="0.25">
      <c r="B20" s="12" t="s">
        <v>52</v>
      </c>
      <c r="C20" s="4">
        <v>68776199</v>
      </c>
      <c r="D20" s="4">
        <v>60775405</v>
      </c>
      <c r="E20" s="17">
        <f t="shared" si="0"/>
        <v>-8000794</v>
      </c>
      <c r="F20" s="27">
        <f t="shared" si="1"/>
        <v>-0.1163</v>
      </c>
      <c r="G20" s="9"/>
      <c r="H20" s="9"/>
    </row>
    <row r="21" spans="2:8" outlineLevel="1" x14ac:dyDescent="0.25">
      <c r="B21" s="11" t="s">
        <v>53</v>
      </c>
      <c r="C21" s="4">
        <v>21722959</v>
      </c>
      <c r="D21" s="4">
        <v>5708305</v>
      </c>
      <c r="E21" s="17">
        <f t="shared" si="0"/>
        <v>-16014654</v>
      </c>
      <c r="F21" s="27">
        <f t="shared" si="1"/>
        <v>-0.73719999999999997</v>
      </c>
      <c r="G21" s="9"/>
      <c r="H21" s="9"/>
    </row>
    <row r="22" spans="2:8" outlineLevel="1" x14ac:dyDescent="0.25">
      <c r="B22" s="11" t="s">
        <v>54</v>
      </c>
      <c r="C22" s="4">
        <v>3255038</v>
      </c>
      <c r="D22" s="4">
        <v>3443703</v>
      </c>
      <c r="E22" s="17">
        <f t="shared" si="0"/>
        <v>188665</v>
      </c>
      <c r="F22" s="27">
        <f t="shared" si="1"/>
        <v>5.8000000000000003E-2</v>
      </c>
      <c r="G22" s="9"/>
      <c r="H22" s="9"/>
    </row>
    <row r="23" spans="2:8" outlineLevel="1" x14ac:dyDescent="0.25">
      <c r="B23" s="11" t="s">
        <v>55</v>
      </c>
      <c r="C23" s="4">
        <v>276613</v>
      </c>
      <c r="D23" s="4">
        <v>157791</v>
      </c>
      <c r="E23" s="17">
        <f t="shared" si="0"/>
        <v>-118822</v>
      </c>
      <c r="F23" s="27">
        <f t="shared" si="1"/>
        <v>-0.42959999999999998</v>
      </c>
      <c r="G23" s="9"/>
      <c r="H23" s="9"/>
    </row>
    <row r="24" spans="2:8" outlineLevel="1" x14ac:dyDescent="0.25">
      <c r="B24" s="11" t="s">
        <v>56</v>
      </c>
      <c r="C24" s="4">
        <v>1539286</v>
      </c>
      <c r="D24" s="4">
        <v>781461</v>
      </c>
      <c r="E24" s="17">
        <f t="shared" si="0"/>
        <v>-757825</v>
      </c>
      <c r="F24" s="27">
        <f t="shared" si="1"/>
        <v>-0.49230000000000002</v>
      </c>
      <c r="G24" s="9"/>
      <c r="H24" s="9"/>
    </row>
    <row r="25" spans="2:8" outlineLevel="1" x14ac:dyDescent="0.25">
      <c r="B25" s="11" t="s">
        <v>57</v>
      </c>
      <c r="C25" s="4">
        <v>127060</v>
      </c>
      <c r="D25" s="4">
        <v>221448</v>
      </c>
      <c r="E25" s="17">
        <f t="shared" si="0"/>
        <v>94388</v>
      </c>
      <c r="F25" s="27">
        <f t="shared" si="1"/>
        <v>0.7429</v>
      </c>
      <c r="G25" s="9"/>
      <c r="H25" s="9"/>
    </row>
    <row r="26" spans="2:8" outlineLevel="1" x14ac:dyDescent="0.25">
      <c r="B26" s="11" t="s">
        <v>58</v>
      </c>
      <c r="C26" s="4">
        <v>0</v>
      </c>
      <c r="D26" s="4">
        <v>1253249</v>
      </c>
      <c r="E26" s="17">
        <f t="shared" si="0"/>
        <v>1253249</v>
      </c>
      <c r="F26" s="27" t="e">
        <f t="shared" si="1"/>
        <v>#DIV/0!</v>
      </c>
      <c r="G26" s="9"/>
      <c r="H26" s="9"/>
    </row>
    <row r="27" spans="2:8" outlineLevel="1" x14ac:dyDescent="0.25">
      <c r="B27" s="11" t="s">
        <v>59</v>
      </c>
      <c r="C27" s="4">
        <v>82440</v>
      </c>
      <c r="D27" s="4">
        <v>39089</v>
      </c>
      <c r="E27" s="17">
        <f t="shared" si="0"/>
        <v>-43351</v>
      </c>
      <c r="F27" s="27">
        <f t="shared" si="1"/>
        <v>-0.52580000000000005</v>
      </c>
      <c r="G27" s="9"/>
      <c r="H27" s="9"/>
    </row>
    <row r="28" spans="2:8" outlineLevel="1" x14ac:dyDescent="0.25">
      <c r="B28" s="11" t="s">
        <v>60</v>
      </c>
      <c r="C28" s="4">
        <v>115990</v>
      </c>
      <c r="D28" s="4">
        <v>905055</v>
      </c>
      <c r="E28" s="17">
        <f t="shared" si="0"/>
        <v>789065</v>
      </c>
      <c r="F28" s="27">
        <f t="shared" si="1"/>
        <v>6.8029000000000002</v>
      </c>
      <c r="G28" s="9"/>
      <c r="H28" s="9"/>
    </row>
    <row r="29" spans="2:8" outlineLevel="1" x14ac:dyDescent="0.25">
      <c r="B29" s="11" t="s">
        <v>61</v>
      </c>
      <c r="C29" s="4">
        <v>2513873</v>
      </c>
      <c r="D29" s="6">
        <v>2357862</v>
      </c>
      <c r="E29" s="17">
        <f t="shared" si="0"/>
        <v>-156011</v>
      </c>
      <c r="F29" s="27">
        <f t="shared" si="1"/>
        <v>-6.2100000000000002E-2</v>
      </c>
      <c r="G29" s="9"/>
      <c r="H29" s="9"/>
    </row>
    <row r="30" spans="2:8" outlineLevel="1" x14ac:dyDescent="0.25">
      <c r="B30" s="12" t="s">
        <v>62</v>
      </c>
      <c r="C30" s="4">
        <v>12680568</v>
      </c>
      <c r="D30" s="4">
        <v>-3155151</v>
      </c>
      <c r="E30" s="17">
        <f t="shared" si="0"/>
        <v>-15835719</v>
      </c>
      <c r="F30" s="27">
        <f t="shared" si="1"/>
        <v>-1.2487999999999999</v>
      </c>
      <c r="G30" s="9"/>
      <c r="H30" s="9"/>
    </row>
    <row r="31" spans="2:8" outlineLevel="1" x14ac:dyDescent="0.25">
      <c r="B31" s="12" t="s">
        <v>63</v>
      </c>
      <c r="C31" s="4">
        <v>12680568</v>
      </c>
      <c r="D31" s="4">
        <v>-3155151</v>
      </c>
      <c r="E31" s="17">
        <f t="shared" si="0"/>
        <v>-15835719</v>
      </c>
      <c r="F31" s="27">
        <f t="shared" si="1"/>
        <v>-1.2487999999999999</v>
      </c>
      <c r="G31" s="9"/>
      <c r="H31" s="9"/>
    </row>
    <row r="32" spans="2:8" x14ac:dyDescent="0.25">
      <c r="B32" s="12" t="s">
        <v>64</v>
      </c>
      <c r="C32" s="4">
        <v>37947701</v>
      </c>
      <c r="D32" s="4">
        <v>50628269</v>
      </c>
      <c r="E32" s="17">
        <f t="shared" si="0"/>
        <v>12680568</v>
      </c>
      <c r="F32" s="27">
        <f t="shared" si="1"/>
        <v>0.3342</v>
      </c>
    </row>
    <row r="33" spans="2:6" ht="18.75" customHeight="1" x14ac:dyDescent="0.25">
      <c r="B33" s="12" t="s">
        <v>65</v>
      </c>
      <c r="C33" s="4">
        <v>244</v>
      </c>
      <c r="D33" s="4">
        <v>236</v>
      </c>
      <c r="E33" s="17">
        <f t="shared" si="0"/>
        <v>-8</v>
      </c>
      <c r="F33" s="27">
        <f t="shared" si="1"/>
        <v>-3.2800000000000003E-2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B3ABD-C933-485A-833F-7A70D613087B}">
  <sheetPr>
    <pageSetUpPr fitToPage="1"/>
  </sheetPr>
  <dimension ref="B2:I42"/>
  <sheetViews>
    <sheetView zoomScale="70" zoomScaleNormal="70" workbookViewId="0">
      <selection activeCell="H30" sqref="H30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75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861298</v>
      </c>
      <c r="D4" s="13">
        <f>D30+D28+D29</f>
        <v>-959842</v>
      </c>
      <c r="E4" s="13">
        <f t="shared" ref="E4:E33" si="0">D4-C4</f>
        <v>-1821140</v>
      </c>
      <c r="F4" s="14">
        <f>E4/C4</f>
        <v>-2.1143999999999998</v>
      </c>
      <c r="G4" s="10" t="s">
        <v>31</v>
      </c>
      <c r="H4" s="15">
        <f>IF(D4&gt;0,1,0)</f>
        <v>0</v>
      </c>
    </row>
    <row r="5" spans="2:9" x14ac:dyDescent="0.25">
      <c r="B5" s="10" t="s">
        <v>32</v>
      </c>
      <c r="C5" s="13">
        <f>C14/C4</f>
        <v>1.5</v>
      </c>
      <c r="D5" s="13">
        <f>D14/D4</f>
        <v>-1.1000000000000001</v>
      </c>
      <c r="E5" s="13">
        <f t="shared" si="0"/>
        <v>-2.6</v>
      </c>
      <c r="F5" s="14">
        <f t="shared" ref="F5:F33" si="1">E5/C5</f>
        <v>-1.7333000000000001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5.53</v>
      </c>
      <c r="D6" s="13">
        <f>D11/D12</f>
        <v>2.25</v>
      </c>
      <c r="E6" s="13">
        <f t="shared" si="0"/>
        <v>-3.28</v>
      </c>
      <c r="F6" s="14">
        <f t="shared" si="1"/>
        <v>-0.59309999999999996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0.28999999999999998</v>
      </c>
      <c r="D7" s="13">
        <f>D14/D16</f>
        <v>0.37</v>
      </c>
      <c r="E7" s="13">
        <f t="shared" si="0"/>
        <v>0.08</v>
      </c>
      <c r="F7" s="14">
        <f t="shared" si="1"/>
        <v>0.27589999999999998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429.15</v>
      </c>
      <c r="D8" s="13">
        <f>D4/(D28+D27+D26)</f>
        <v>-450.42</v>
      </c>
      <c r="E8" s="13">
        <f t="shared" si="0"/>
        <v>-879.57</v>
      </c>
      <c r="F8" s="14">
        <f t="shared" si="1"/>
        <v>-2.0495999999999999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5.84</v>
      </c>
      <c r="D9" s="13">
        <f>(0.717*((D11-D12))/D15)+(0.847*(D32/D15))+(3.107*((D30+D28)/D15))+(0.42*(D16/(D12+D13)))+(0.998*(D19/D15))</f>
        <v>4.1500000000000004</v>
      </c>
      <c r="E9" s="13">
        <f t="shared" si="0"/>
        <v>-1.69</v>
      </c>
      <c r="F9" s="14">
        <f t="shared" si="1"/>
        <v>-0.28939999999999999</v>
      </c>
      <c r="G9" s="10" t="s">
        <v>34</v>
      </c>
      <c r="H9" s="15">
        <f>IF(D9&lt;1.23,0,IF(D9&lt;2.9,1,2))</f>
        <v>2</v>
      </c>
    </row>
    <row r="10" spans="2:9" x14ac:dyDescent="0.25">
      <c r="B10" s="10" t="s">
        <v>38</v>
      </c>
      <c r="C10" s="13">
        <f>(C24+C18)/C12</f>
        <v>4.2699999999999996</v>
      </c>
      <c r="D10" s="28">
        <f>(D24+D18)/D12</f>
        <v>1.0009999999999999</v>
      </c>
      <c r="E10" s="13">
        <f t="shared" si="0"/>
        <v>-3.27</v>
      </c>
      <c r="F10" s="14">
        <f t="shared" si="1"/>
        <v>-0.76580000000000004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3811988</v>
      </c>
      <c r="D11" s="4">
        <v>2384360</v>
      </c>
      <c r="E11" s="17">
        <f t="shared" si="0"/>
        <v>-1427628</v>
      </c>
      <c r="F11" s="27">
        <f t="shared" si="1"/>
        <v>-0.3745</v>
      </c>
      <c r="G11" s="9"/>
      <c r="H11" s="9"/>
    </row>
    <row r="12" spans="2:9" outlineLevel="1" x14ac:dyDescent="0.25">
      <c r="B12" s="12" t="s">
        <v>40</v>
      </c>
      <c r="C12" s="4">
        <v>689896</v>
      </c>
      <c r="D12" s="4">
        <v>1058157</v>
      </c>
      <c r="E12" s="17">
        <f t="shared" si="0"/>
        <v>368261</v>
      </c>
      <c r="F12" s="27">
        <f t="shared" si="1"/>
        <v>0.53380000000000005</v>
      </c>
      <c r="G12" s="20"/>
      <c r="H12" s="9"/>
    </row>
    <row r="13" spans="2:9" outlineLevel="1" x14ac:dyDescent="0.25">
      <c r="B13" s="12" t="s">
        <v>41</v>
      </c>
      <c r="C13" s="4">
        <v>600779</v>
      </c>
      <c r="D13" s="4">
        <v>0</v>
      </c>
      <c r="E13" s="17">
        <f t="shared" si="0"/>
        <v>-600779</v>
      </c>
      <c r="F13" s="27">
        <f t="shared" si="1"/>
        <v>-1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1290675</v>
      </c>
      <c r="D14" s="4">
        <v>1058157</v>
      </c>
      <c r="E14" s="17">
        <f t="shared" si="0"/>
        <v>-232518</v>
      </c>
      <c r="F14" s="27">
        <f t="shared" si="1"/>
        <v>-0.1802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5748046</v>
      </c>
      <c r="D15" s="4">
        <v>3898504</v>
      </c>
      <c r="E15" s="17">
        <f t="shared" si="0"/>
        <v>-1849542</v>
      </c>
      <c r="F15" s="27">
        <f t="shared" si="1"/>
        <v>-0.32179999999999997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4457371</v>
      </c>
      <c r="D16" s="4">
        <v>2840347</v>
      </c>
      <c r="E16" s="17">
        <f t="shared" si="0"/>
        <v>-1617024</v>
      </c>
      <c r="F16" s="27">
        <f t="shared" si="1"/>
        <v>-0.36280000000000001</v>
      </c>
      <c r="G16" s="33" t="s">
        <v>48</v>
      </c>
      <c r="H16" s="33"/>
      <c r="I16" s="8">
        <f>SUM(H4:H10)</f>
        <v>6</v>
      </c>
    </row>
    <row r="17" spans="2:8" outlineLevel="1" x14ac:dyDescent="0.25">
      <c r="B17" s="12" t="s">
        <v>49</v>
      </c>
      <c r="C17" s="4">
        <v>5707817</v>
      </c>
      <c r="D17" s="4">
        <v>4823275</v>
      </c>
      <c r="E17" s="17">
        <f t="shared" si="0"/>
        <v>-884542</v>
      </c>
      <c r="F17" s="27">
        <f t="shared" si="1"/>
        <v>-0.155</v>
      </c>
      <c r="G17" s="9"/>
    </row>
    <row r="18" spans="2:8" outlineLevel="1" x14ac:dyDescent="0.25">
      <c r="B18" s="11" t="s">
        <v>50</v>
      </c>
      <c r="C18" s="4">
        <v>685160</v>
      </c>
      <c r="D18" s="4">
        <v>416218</v>
      </c>
      <c r="E18" s="17">
        <f t="shared" si="0"/>
        <v>-268942</v>
      </c>
      <c r="F18" s="27">
        <f t="shared" si="1"/>
        <v>-0.39250000000000002</v>
      </c>
      <c r="G18" s="9"/>
      <c r="H18" s="9"/>
    </row>
    <row r="19" spans="2:8" outlineLevel="1" x14ac:dyDescent="0.25">
      <c r="B19" s="11" t="s">
        <v>51</v>
      </c>
      <c r="C19" s="4">
        <v>22537475</v>
      </c>
      <c r="D19" s="4">
        <v>15505017</v>
      </c>
      <c r="E19" s="17">
        <f t="shared" si="0"/>
        <v>-7032458</v>
      </c>
      <c r="F19" s="27">
        <f t="shared" si="1"/>
        <v>-0.312</v>
      </c>
      <c r="G19" s="9"/>
      <c r="H19" s="9"/>
    </row>
    <row r="20" spans="2:8" outlineLevel="1" x14ac:dyDescent="0.25">
      <c r="B20" s="12" t="s">
        <v>52</v>
      </c>
      <c r="C20" s="4">
        <v>21919941</v>
      </c>
      <c r="D20" s="4">
        <v>16466707</v>
      </c>
      <c r="E20" s="17">
        <f t="shared" si="0"/>
        <v>-5453234</v>
      </c>
      <c r="F20" s="27">
        <f t="shared" si="1"/>
        <v>-0.24879999999999999</v>
      </c>
      <c r="G20" s="9"/>
      <c r="H20" s="9"/>
    </row>
    <row r="21" spans="2:8" outlineLevel="1" x14ac:dyDescent="0.25">
      <c r="B21" s="11" t="s">
        <v>53</v>
      </c>
      <c r="C21" s="4">
        <v>617534</v>
      </c>
      <c r="D21" s="4">
        <v>-961690</v>
      </c>
      <c r="E21" s="17">
        <f t="shared" si="0"/>
        <v>-1579224</v>
      </c>
      <c r="F21" s="27">
        <f t="shared" si="1"/>
        <v>-2.5573000000000001</v>
      </c>
      <c r="G21" s="9"/>
      <c r="H21" s="9"/>
    </row>
    <row r="22" spans="2:8" outlineLevel="1" x14ac:dyDescent="0.25">
      <c r="B22" s="11" t="s">
        <v>54</v>
      </c>
      <c r="C22" s="4">
        <v>688370</v>
      </c>
      <c r="D22" s="4">
        <v>660819</v>
      </c>
      <c r="E22" s="17">
        <f t="shared" si="0"/>
        <v>-27551</v>
      </c>
      <c r="F22" s="27">
        <f t="shared" si="1"/>
        <v>-0.04</v>
      </c>
      <c r="G22" s="9"/>
      <c r="H22" s="9"/>
    </row>
    <row r="23" spans="2:8" outlineLevel="1" x14ac:dyDescent="0.25">
      <c r="B23" s="11" t="s">
        <v>55</v>
      </c>
      <c r="C23" s="4">
        <v>114092</v>
      </c>
      <c r="D23" s="4">
        <v>7634</v>
      </c>
      <c r="E23" s="17">
        <f t="shared" si="0"/>
        <v>-106458</v>
      </c>
      <c r="F23" s="27">
        <f t="shared" si="1"/>
        <v>-0.93310000000000004</v>
      </c>
      <c r="G23" s="9"/>
      <c r="H23" s="9"/>
    </row>
    <row r="24" spans="2:8" outlineLevel="1" x14ac:dyDescent="0.25">
      <c r="B24" s="11" t="s">
        <v>56</v>
      </c>
      <c r="C24" s="4">
        <v>2262862</v>
      </c>
      <c r="D24" s="4">
        <v>643283</v>
      </c>
      <c r="E24" s="17">
        <f t="shared" si="0"/>
        <v>-1619579</v>
      </c>
      <c r="F24" s="27">
        <f t="shared" si="1"/>
        <v>-0.7157</v>
      </c>
      <c r="G24" s="9"/>
      <c r="H24" s="9"/>
    </row>
    <row r="25" spans="2:8" outlineLevel="1" x14ac:dyDescent="0.25">
      <c r="B25" s="11" t="s">
        <v>57</v>
      </c>
      <c r="C25" s="4">
        <v>0</v>
      </c>
      <c r="D25" s="4">
        <v>0</v>
      </c>
      <c r="E25" s="17">
        <f t="shared" si="0"/>
        <v>0</v>
      </c>
      <c r="F25" s="27" t="e">
        <f t="shared" si="1"/>
        <v>#DIV/0!</v>
      </c>
      <c r="G25" s="9"/>
      <c r="H25" s="9"/>
    </row>
    <row r="26" spans="2:8" outlineLevel="1" x14ac:dyDescent="0.25">
      <c r="B26" s="11" t="s">
        <v>58</v>
      </c>
      <c r="C26" s="4">
        <v>0</v>
      </c>
      <c r="D26" s="4">
        <v>0</v>
      </c>
      <c r="E26" s="17">
        <f t="shared" si="0"/>
        <v>0</v>
      </c>
      <c r="F26" s="27" t="e">
        <f t="shared" si="1"/>
        <v>#DIV/0!</v>
      </c>
      <c r="G26" s="9"/>
      <c r="H26" s="9"/>
    </row>
    <row r="27" spans="2:8" outlineLevel="1" x14ac:dyDescent="0.25">
      <c r="B27" s="11" t="s">
        <v>59</v>
      </c>
      <c r="C27" s="4">
        <v>0</v>
      </c>
      <c r="D27" s="4">
        <v>0</v>
      </c>
      <c r="E27" s="17">
        <f t="shared" si="0"/>
        <v>0</v>
      </c>
      <c r="F27" s="27" t="e">
        <f t="shared" si="1"/>
        <v>#DIV/0!</v>
      </c>
      <c r="G27" s="9"/>
      <c r="H27" s="9"/>
    </row>
    <row r="28" spans="2:8" outlineLevel="1" x14ac:dyDescent="0.25">
      <c r="B28" s="11" t="s">
        <v>60</v>
      </c>
      <c r="C28" s="4">
        <v>2007</v>
      </c>
      <c r="D28" s="4">
        <v>2131</v>
      </c>
      <c r="E28" s="17">
        <f t="shared" si="0"/>
        <v>124</v>
      </c>
      <c r="F28" s="27">
        <f t="shared" si="1"/>
        <v>6.1800000000000001E-2</v>
      </c>
      <c r="G28" s="9"/>
      <c r="H28" s="9"/>
    </row>
    <row r="29" spans="2:8" outlineLevel="1" x14ac:dyDescent="0.25">
      <c r="B29" s="11" t="s">
        <v>61</v>
      </c>
      <c r="C29" s="4">
        <v>818042</v>
      </c>
      <c r="D29" s="6">
        <v>655033</v>
      </c>
      <c r="E29" s="17">
        <f t="shared" si="0"/>
        <v>-163009</v>
      </c>
      <c r="F29" s="27">
        <f t="shared" si="1"/>
        <v>-0.1993</v>
      </c>
      <c r="G29" s="9"/>
      <c r="H29" s="9"/>
    </row>
    <row r="30" spans="2:8" outlineLevel="1" x14ac:dyDescent="0.25">
      <c r="B30" s="12" t="s">
        <v>62</v>
      </c>
      <c r="C30" s="4">
        <v>41249</v>
      </c>
      <c r="D30" s="4">
        <v>-1617006</v>
      </c>
      <c r="E30" s="17">
        <f t="shared" si="0"/>
        <v>-1658255</v>
      </c>
      <c r="F30" s="27">
        <f t="shared" si="1"/>
        <v>-40.201099999999997</v>
      </c>
      <c r="G30" s="9"/>
      <c r="H30" s="9"/>
    </row>
    <row r="31" spans="2:8" outlineLevel="1" x14ac:dyDescent="0.25">
      <c r="B31" s="12" t="s">
        <v>63</v>
      </c>
      <c r="C31" s="4">
        <v>41192</v>
      </c>
      <c r="D31" s="4">
        <v>-1617148</v>
      </c>
      <c r="E31" s="17">
        <f t="shared" si="0"/>
        <v>-1658340</v>
      </c>
      <c r="F31" s="27">
        <f t="shared" si="1"/>
        <v>-40.258800000000001</v>
      </c>
      <c r="G31" s="9"/>
      <c r="H31" s="9"/>
    </row>
    <row r="32" spans="2:8" x14ac:dyDescent="0.25">
      <c r="B32" s="12" t="s">
        <v>64</v>
      </c>
      <c r="C32" s="4">
        <v>416120</v>
      </c>
      <c r="D32" s="4">
        <v>457436</v>
      </c>
      <c r="E32" s="17">
        <f t="shared" si="0"/>
        <v>41316</v>
      </c>
      <c r="F32" s="27">
        <f t="shared" si="1"/>
        <v>9.9299999999999999E-2</v>
      </c>
    </row>
    <row r="33" spans="2:6" ht="18.75" customHeight="1" x14ac:dyDescent="0.25">
      <c r="B33" s="12" t="s">
        <v>65</v>
      </c>
      <c r="C33" s="4">
        <v>94</v>
      </c>
      <c r="D33" s="4">
        <v>80</v>
      </c>
      <c r="E33" s="17">
        <f t="shared" si="0"/>
        <v>-14</v>
      </c>
      <c r="F33" s="27">
        <f t="shared" si="1"/>
        <v>-0.1489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9A2C-48A2-40B6-A003-20C663B7CC8F}">
  <sheetPr>
    <pageSetUpPr fitToPage="1"/>
  </sheetPr>
  <dimension ref="B2:I42"/>
  <sheetViews>
    <sheetView zoomScale="70" zoomScaleNormal="70" workbookViewId="0">
      <selection activeCell="H27" sqref="H27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76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4545837</v>
      </c>
      <c r="D4" s="13">
        <f>D30+D28+D29</f>
        <v>1897141</v>
      </c>
      <c r="E4" s="13">
        <f t="shared" ref="E4:E33" si="0">D4-C4</f>
        <v>-2648696</v>
      </c>
      <c r="F4" s="14">
        <f>E4/C4</f>
        <v>-0.5827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1.74</v>
      </c>
      <c r="D5" s="13">
        <f>D14/D4</f>
        <v>6.41</v>
      </c>
      <c r="E5" s="13">
        <f t="shared" si="0"/>
        <v>4.67</v>
      </c>
      <c r="F5" s="14">
        <f t="shared" ref="F5:F33" si="1">E5/C5</f>
        <v>2.6839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1.38</v>
      </c>
      <c r="D6" s="13">
        <f>D11/D12</f>
        <v>1.01</v>
      </c>
      <c r="E6" s="13">
        <f t="shared" si="0"/>
        <v>-0.37</v>
      </c>
      <c r="F6" s="14">
        <f t="shared" si="1"/>
        <v>-0.2681</v>
      </c>
      <c r="G6" s="10" t="s">
        <v>34</v>
      </c>
      <c r="H6" s="15">
        <f>IF(D6&lt;1,0,IF(D6&lt;2,1,2))</f>
        <v>1</v>
      </c>
    </row>
    <row r="7" spans="2:9" x14ac:dyDescent="0.25">
      <c r="B7" s="10" t="s">
        <v>35</v>
      </c>
      <c r="C7" s="13">
        <f>C14/C16</f>
        <v>0.84</v>
      </c>
      <c r="D7" s="13">
        <f>D14/D16</f>
        <v>1.27</v>
      </c>
      <c r="E7" s="13">
        <f t="shared" si="0"/>
        <v>0.43</v>
      </c>
      <c r="F7" s="14">
        <f t="shared" si="1"/>
        <v>0.51190000000000002</v>
      </c>
      <c r="G7" s="10" t="s">
        <v>31</v>
      </c>
      <c r="H7" s="15">
        <f>IF(D7&lt;0.7,1,0)</f>
        <v>0</v>
      </c>
    </row>
    <row r="8" spans="2:9" x14ac:dyDescent="0.25">
      <c r="B8" s="10" t="s">
        <v>36</v>
      </c>
      <c r="C8" s="13">
        <f>C4/(C28+C27+C26)</f>
        <v>2.61</v>
      </c>
      <c r="D8" s="13">
        <f>D4/(D28+D27+D26)</f>
        <v>0.74</v>
      </c>
      <c r="E8" s="13">
        <f t="shared" si="0"/>
        <v>-1.87</v>
      </c>
      <c r="F8" s="14">
        <f t="shared" si="1"/>
        <v>-0.71650000000000003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3.39</v>
      </c>
      <c r="D9" s="13">
        <f>(0.717*((D11-D12))/D15)+(0.847*(D32/D15))+(3.107*((D30+D28)/D15))+(0.42*(D16/(D12+D13)))+(0.998*(D19/D15))</f>
        <v>2.15</v>
      </c>
      <c r="E9" s="13">
        <f t="shared" si="0"/>
        <v>-1.24</v>
      </c>
      <c r="F9" s="14">
        <f t="shared" si="1"/>
        <v>-0.36580000000000001</v>
      </c>
      <c r="G9" s="10" t="s">
        <v>34</v>
      </c>
      <c r="H9" s="15">
        <f>IF(D9&lt;1.23,0,IF(D9&lt;2.9,1,2))</f>
        <v>1</v>
      </c>
    </row>
    <row r="10" spans="2:9" x14ac:dyDescent="0.25">
      <c r="B10" s="10" t="s">
        <v>38</v>
      </c>
      <c r="C10" s="13">
        <f>(C24+C18)/C12</f>
        <v>0.55000000000000004</v>
      </c>
      <c r="D10" s="28">
        <f>(D24+D18)/D12</f>
        <v>0.42399999999999999</v>
      </c>
      <c r="E10" s="13">
        <f t="shared" si="0"/>
        <v>-0.13</v>
      </c>
      <c r="F10" s="14">
        <f t="shared" si="1"/>
        <v>-0.2364</v>
      </c>
      <c r="G10" s="16" t="s">
        <v>31</v>
      </c>
      <c r="H10" s="15">
        <f>IF(D10&gt;1,1,0)</f>
        <v>0</v>
      </c>
    </row>
    <row r="11" spans="2:9" outlineLevel="1" x14ac:dyDescent="0.25">
      <c r="B11" s="11" t="s">
        <v>39</v>
      </c>
      <c r="C11" s="4">
        <v>6370262</v>
      </c>
      <c r="D11" s="4">
        <v>6121006</v>
      </c>
      <c r="E11" s="17">
        <f t="shared" si="0"/>
        <v>-249256</v>
      </c>
      <c r="F11" s="27">
        <f t="shared" si="1"/>
        <v>-3.9100000000000003E-2</v>
      </c>
      <c r="G11" s="9"/>
      <c r="H11" s="9"/>
    </row>
    <row r="12" spans="2:9" outlineLevel="1" x14ac:dyDescent="0.25">
      <c r="B12" s="12" t="s">
        <v>40</v>
      </c>
      <c r="C12" s="4">
        <v>4620346</v>
      </c>
      <c r="D12" s="4">
        <v>6087069</v>
      </c>
      <c r="E12" s="17">
        <f t="shared" si="0"/>
        <v>1466723</v>
      </c>
      <c r="F12" s="27">
        <f t="shared" si="1"/>
        <v>0.31740000000000002</v>
      </c>
      <c r="G12" s="20"/>
      <c r="H12" s="9"/>
    </row>
    <row r="13" spans="2:9" outlineLevel="1" x14ac:dyDescent="0.25">
      <c r="B13" s="12" t="s">
        <v>41</v>
      </c>
      <c r="C13" s="4">
        <v>3308290</v>
      </c>
      <c r="D13" s="4">
        <v>6065842</v>
      </c>
      <c r="E13" s="17">
        <f t="shared" si="0"/>
        <v>2757552</v>
      </c>
      <c r="F13" s="27">
        <f t="shared" si="1"/>
        <v>0.83350000000000002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7928636</v>
      </c>
      <c r="D14" s="4">
        <v>12152911</v>
      </c>
      <c r="E14" s="17">
        <f t="shared" si="0"/>
        <v>4224275</v>
      </c>
      <c r="F14" s="27">
        <f t="shared" si="1"/>
        <v>0.53280000000000005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17352103</v>
      </c>
      <c r="D15" s="4">
        <v>21709911</v>
      </c>
      <c r="E15" s="17">
        <f t="shared" si="0"/>
        <v>4357808</v>
      </c>
      <c r="F15" s="27">
        <f t="shared" si="1"/>
        <v>0.25109999999999999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9423467</v>
      </c>
      <c r="D16" s="4">
        <v>9557000</v>
      </c>
      <c r="E16" s="17">
        <f t="shared" si="0"/>
        <v>133533</v>
      </c>
      <c r="F16" s="27">
        <f t="shared" si="1"/>
        <v>1.4200000000000001E-2</v>
      </c>
      <c r="G16" s="33" t="s">
        <v>48</v>
      </c>
      <c r="H16" s="33"/>
      <c r="I16" s="8">
        <f>SUM(H4:H10)</f>
        <v>3</v>
      </c>
    </row>
    <row r="17" spans="2:8" outlineLevel="1" x14ac:dyDescent="0.25">
      <c r="B17" s="12" t="s">
        <v>49</v>
      </c>
      <c r="C17" s="4">
        <v>14815782</v>
      </c>
      <c r="D17" s="4">
        <v>19531007</v>
      </c>
      <c r="E17" s="17">
        <f t="shared" si="0"/>
        <v>4715225</v>
      </c>
      <c r="F17" s="27">
        <f t="shared" si="1"/>
        <v>0.31830000000000003</v>
      </c>
      <c r="G17" s="9"/>
    </row>
    <row r="18" spans="2:8" outlineLevel="1" x14ac:dyDescent="0.25">
      <c r="B18" s="11" t="s">
        <v>50</v>
      </c>
      <c r="C18" s="4">
        <v>2244763</v>
      </c>
      <c r="D18" s="4">
        <v>2286651</v>
      </c>
      <c r="E18" s="17">
        <f t="shared" si="0"/>
        <v>41888</v>
      </c>
      <c r="F18" s="27">
        <f t="shared" si="1"/>
        <v>1.8700000000000001E-2</v>
      </c>
      <c r="G18" s="9"/>
      <c r="H18" s="9"/>
    </row>
    <row r="19" spans="2:8" outlineLevel="1" x14ac:dyDescent="0.25">
      <c r="B19" s="11" t="s">
        <v>51</v>
      </c>
      <c r="C19" s="4">
        <v>33415720</v>
      </c>
      <c r="D19" s="4">
        <v>30048547</v>
      </c>
      <c r="E19" s="17">
        <f t="shared" si="0"/>
        <v>-3367173</v>
      </c>
      <c r="F19" s="27">
        <f t="shared" si="1"/>
        <v>-0.1008</v>
      </c>
      <c r="G19" s="9"/>
      <c r="H19" s="9"/>
    </row>
    <row r="20" spans="2:8" outlineLevel="1" x14ac:dyDescent="0.25">
      <c r="B20" s="12" t="s">
        <v>52</v>
      </c>
      <c r="C20" s="4">
        <v>29131449</v>
      </c>
      <c r="D20" s="4">
        <v>28589850</v>
      </c>
      <c r="E20" s="17">
        <f t="shared" si="0"/>
        <v>-541599</v>
      </c>
      <c r="F20" s="27">
        <f t="shared" si="1"/>
        <v>-1.8599999999999998E-2</v>
      </c>
      <c r="G20" s="9"/>
      <c r="H20" s="9"/>
    </row>
    <row r="21" spans="2:8" outlineLevel="1" x14ac:dyDescent="0.25">
      <c r="B21" s="11" t="s">
        <v>53</v>
      </c>
      <c r="C21" s="4">
        <v>4284271</v>
      </c>
      <c r="D21" s="4">
        <v>1458697</v>
      </c>
      <c r="E21" s="17">
        <f t="shared" si="0"/>
        <v>-2825574</v>
      </c>
      <c r="F21" s="27">
        <f t="shared" si="1"/>
        <v>-0.65949999999999998</v>
      </c>
      <c r="G21" s="9"/>
      <c r="H21" s="9"/>
    </row>
    <row r="22" spans="2:8" outlineLevel="1" x14ac:dyDescent="0.25">
      <c r="B22" s="11" t="s">
        <v>54</v>
      </c>
      <c r="C22" s="4">
        <v>919451</v>
      </c>
      <c r="D22" s="4">
        <v>956703</v>
      </c>
      <c r="E22" s="17">
        <f t="shared" si="0"/>
        <v>37252</v>
      </c>
      <c r="F22" s="27">
        <f t="shared" si="1"/>
        <v>4.0500000000000001E-2</v>
      </c>
      <c r="G22" s="9"/>
      <c r="H22" s="9"/>
    </row>
    <row r="23" spans="2:8" outlineLevel="1" x14ac:dyDescent="0.25">
      <c r="B23" s="11" t="s">
        <v>55</v>
      </c>
      <c r="C23" s="4">
        <v>116241</v>
      </c>
      <c r="D23" s="4">
        <v>141706</v>
      </c>
      <c r="E23" s="17">
        <f t="shared" si="0"/>
        <v>25465</v>
      </c>
      <c r="F23" s="27">
        <f t="shared" si="1"/>
        <v>0.21909999999999999</v>
      </c>
      <c r="G23" s="9"/>
      <c r="H23" s="9"/>
    </row>
    <row r="24" spans="2:8" outlineLevel="1" x14ac:dyDescent="0.25">
      <c r="B24" s="11" t="s">
        <v>56</v>
      </c>
      <c r="C24" s="4">
        <v>284283</v>
      </c>
      <c r="D24" s="4">
        <v>292533</v>
      </c>
      <c r="E24" s="17">
        <f t="shared" si="0"/>
        <v>8250</v>
      </c>
      <c r="F24" s="27">
        <f t="shared" si="1"/>
        <v>2.9000000000000001E-2</v>
      </c>
      <c r="G24" s="9"/>
      <c r="H24" s="9"/>
    </row>
    <row r="25" spans="2:8" outlineLevel="1" x14ac:dyDescent="0.25">
      <c r="B25" s="11" t="s">
        <v>57</v>
      </c>
      <c r="C25" s="4">
        <v>67988</v>
      </c>
      <c r="D25" s="4">
        <v>15942</v>
      </c>
      <c r="E25" s="17">
        <f t="shared" si="0"/>
        <v>-52046</v>
      </c>
      <c r="F25" s="27">
        <f t="shared" si="1"/>
        <v>-0.76549999999999996</v>
      </c>
      <c r="G25" s="9"/>
      <c r="H25" s="9"/>
    </row>
    <row r="26" spans="2:8" outlineLevel="1" x14ac:dyDescent="0.25">
      <c r="B26" s="11" t="s">
        <v>58</v>
      </c>
      <c r="C26" s="4">
        <v>417538</v>
      </c>
      <c r="D26" s="4">
        <v>711808</v>
      </c>
      <c r="E26" s="17">
        <f t="shared" si="0"/>
        <v>294270</v>
      </c>
      <c r="F26" s="27">
        <f t="shared" si="1"/>
        <v>0.70479999999999998</v>
      </c>
      <c r="G26" s="9"/>
      <c r="H26" s="9"/>
    </row>
    <row r="27" spans="2:8" outlineLevel="1" x14ac:dyDescent="0.25">
      <c r="B27" s="11" t="s">
        <v>59</v>
      </c>
      <c r="C27" s="4">
        <v>1148031</v>
      </c>
      <c r="D27" s="4">
        <v>1343021</v>
      </c>
      <c r="E27" s="17">
        <f t="shared" si="0"/>
        <v>194990</v>
      </c>
      <c r="F27" s="27">
        <f t="shared" si="1"/>
        <v>0.16980000000000001</v>
      </c>
      <c r="G27" s="9"/>
      <c r="H27" s="9"/>
    </row>
    <row r="28" spans="2:8" outlineLevel="1" x14ac:dyDescent="0.25">
      <c r="B28" s="11" t="s">
        <v>60</v>
      </c>
      <c r="C28" s="4">
        <v>175709</v>
      </c>
      <c r="D28" s="4">
        <v>494225</v>
      </c>
      <c r="E28" s="17">
        <f t="shared" si="0"/>
        <v>318516</v>
      </c>
      <c r="F28" s="27">
        <f t="shared" si="1"/>
        <v>1.8127</v>
      </c>
      <c r="G28" s="9"/>
      <c r="H28" s="9"/>
    </row>
    <row r="29" spans="2:8" outlineLevel="1" x14ac:dyDescent="0.25">
      <c r="B29" s="11" t="s">
        <v>61</v>
      </c>
      <c r="C29" s="4">
        <v>1054576</v>
      </c>
      <c r="D29" s="6">
        <v>1269383</v>
      </c>
      <c r="E29" s="17">
        <f t="shared" si="0"/>
        <v>214807</v>
      </c>
      <c r="F29" s="27">
        <f t="shared" si="1"/>
        <v>0.20369999999999999</v>
      </c>
      <c r="G29" s="9"/>
      <c r="H29" s="9"/>
    </row>
    <row r="30" spans="2:8" outlineLevel="1" x14ac:dyDescent="0.25">
      <c r="B30" s="12" t="s">
        <v>62</v>
      </c>
      <c r="C30" s="4">
        <v>3315552</v>
      </c>
      <c r="D30" s="4">
        <v>133533</v>
      </c>
      <c r="E30" s="17">
        <f t="shared" si="0"/>
        <v>-3182019</v>
      </c>
      <c r="F30" s="27">
        <f t="shared" si="1"/>
        <v>-0.9597</v>
      </c>
      <c r="G30" s="9"/>
      <c r="H30" s="9"/>
    </row>
    <row r="31" spans="2:8" outlineLevel="1" x14ac:dyDescent="0.25">
      <c r="B31" s="12" t="s">
        <v>63</v>
      </c>
      <c r="C31" s="4">
        <v>3314732</v>
      </c>
      <c r="D31" s="4">
        <v>133533</v>
      </c>
      <c r="E31" s="17">
        <f t="shared" si="0"/>
        <v>-3181199</v>
      </c>
      <c r="F31" s="27">
        <f t="shared" si="1"/>
        <v>-0.9597</v>
      </c>
      <c r="G31" s="9"/>
      <c r="H31" s="9"/>
    </row>
    <row r="32" spans="2:8" x14ac:dyDescent="0.25">
      <c r="B32" s="12" t="s">
        <v>64</v>
      </c>
      <c r="C32" s="4">
        <v>5464035</v>
      </c>
      <c r="D32" s="4">
        <v>8778767</v>
      </c>
      <c r="E32" s="17">
        <f t="shared" si="0"/>
        <v>3314732</v>
      </c>
      <c r="F32" s="27">
        <f t="shared" si="1"/>
        <v>0.60660000000000003</v>
      </c>
    </row>
    <row r="33" spans="2:6" ht="18.75" customHeight="1" x14ac:dyDescent="0.25">
      <c r="B33" s="12" t="s">
        <v>65</v>
      </c>
      <c r="C33" s="4">
        <v>205</v>
      </c>
      <c r="D33" s="4">
        <v>213</v>
      </c>
      <c r="E33" s="17">
        <f t="shared" si="0"/>
        <v>8</v>
      </c>
      <c r="F33" s="27">
        <f t="shared" si="1"/>
        <v>3.9E-2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4FBFA-83FE-4F95-BFCE-10E4CCE94F30}">
  <sheetPr>
    <pageSetUpPr fitToPage="1"/>
  </sheetPr>
  <dimension ref="B2:I42"/>
  <sheetViews>
    <sheetView zoomScale="70" zoomScaleNormal="70" workbookViewId="0">
      <selection activeCell="J31" sqref="J31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77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1489070</v>
      </c>
      <c r="D4" s="13">
        <f>D30+D28+D29</f>
        <v>851078</v>
      </c>
      <c r="E4" s="13">
        <f t="shared" ref="E4:E33" si="0">D4-C4</f>
        <v>-637992</v>
      </c>
      <c r="F4" s="14">
        <f>E4/C4</f>
        <v>-0.4284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0.15</v>
      </c>
      <c r="D5" s="13">
        <f>D14/D4</f>
        <v>0.24</v>
      </c>
      <c r="E5" s="13">
        <f t="shared" si="0"/>
        <v>0.09</v>
      </c>
      <c r="F5" s="14">
        <f t="shared" ref="F5:F33" si="1">E5/C5</f>
        <v>0.6</v>
      </c>
      <c r="G5" s="10" t="s">
        <v>31</v>
      </c>
      <c r="H5" s="15">
        <f>IF(AND(D5&gt;0,D5&lt;4),1,0)</f>
        <v>1</v>
      </c>
    </row>
    <row r="6" spans="2:9" x14ac:dyDescent="0.25">
      <c r="B6" s="10" t="s">
        <v>33</v>
      </c>
      <c r="C6" s="13">
        <f>C11/C12</f>
        <v>26.91</v>
      </c>
      <c r="D6" s="13">
        <f>D11/D12</f>
        <v>32.96</v>
      </c>
      <c r="E6" s="13">
        <f t="shared" si="0"/>
        <v>6.05</v>
      </c>
      <c r="F6" s="14">
        <f t="shared" si="1"/>
        <v>0.2248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0.03</v>
      </c>
      <c r="D7" s="13">
        <f>D14/D16</f>
        <v>0.03</v>
      </c>
      <c r="E7" s="13">
        <f t="shared" si="0"/>
        <v>0</v>
      </c>
      <c r="F7" s="14">
        <f t="shared" si="1"/>
        <v>0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29.03</v>
      </c>
      <c r="D8" s="13">
        <f>D4/(D28+D27+D26)</f>
        <v>96.65</v>
      </c>
      <c r="E8" s="13">
        <f t="shared" si="0"/>
        <v>67.62</v>
      </c>
      <c r="F8" s="14">
        <f t="shared" si="1"/>
        <v>2.3292999999999999</v>
      </c>
      <c r="G8" s="10" t="s">
        <v>31</v>
      </c>
      <c r="H8" s="15">
        <f>IF(D8&lt;1.2,0,1)</f>
        <v>1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15.54</v>
      </c>
      <c r="D9" s="13">
        <f>(0.717*((D11-D12))/D15)+(0.847*(D32/D15))+(3.107*((D30+D28)/D15))+(0.42*(D16/(D12+D13)))+(0.998*(D19/D15))</f>
        <v>17.88</v>
      </c>
      <c r="E9" s="13">
        <f t="shared" si="0"/>
        <v>2.34</v>
      </c>
      <c r="F9" s="14">
        <f t="shared" si="1"/>
        <v>0.15060000000000001</v>
      </c>
      <c r="G9" s="10" t="s">
        <v>34</v>
      </c>
      <c r="H9" s="15">
        <f>IF(D9&lt;1.23,0,IF(D9&lt;2.9,1,2))</f>
        <v>2</v>
      </c>
    </row>
    <row r="10" spans="2:9" x14ac:dyDescent="0.25">
      <c r="B10" s="10" t="s">
        <v>38</v>
      </c>
      <c r="C10" s="13">
        <f>(C24+C18)/C12</f>
        <v>21.37</v>
      </c>
      <c r="D10" s="28">
        <f>(D24+D18)/D12</f>
        <v>26.911000000000001</v>
      </c>
      <c r="E10" s="13">
        <f t="shared" si="0"/>
        <v>5.54</v>
      </c>
      <c r="F10" s="14">
        <f t="shared" si="1"/>
        <v>0.25919999999999999</v>
      </c>
      <c r="G10" s="16" t="s">
        <v>31</v>
      </c>
      <c r="H10" s="15">
        <f>IF(D10&gt;1,1,0)</f>
        <v>1</v>
      </c>
    </row>
    <row r="11" spans="2:9" outlineLevel="1" x14ac:dyDescent="0.25">
      <c r="B11" s="11" t="s">
        <v>39</v>
      </c>
      <c r="C11" s="4">
        <v>6079140</v>
      </c>
      <c r="D11" s="4">
        <v>6765083</v>
      </c>
      <c r="E11" s="17">
        <f t="shared" si="0"/>
        <v>685943</v>
      </c>
      <c r="F11" s="27">
        <f t="shared" si="1"/>
        <v>0.1128</v>
      </c>
      <c r="G11" s="9"/>
      <c r="H11" s="9"/>
    </row>
    <row r="12" spans="2:9" outlineLevel="1" x14ac:dyDescent="0.25">
      <c r="B12" s="12" t="s">
        <v>40</v>
      </c>
      <c r="C12" s="4">
        <v>225894</v>
      </c>
      <c r="D12" s="4">
        <v>205230</v>
      </c>
      <c r="E12" s="17">
        <f t="shared" si="0"/>
        <v>-20664</v>
      </c>
      <c r="F12" s="27">
        <f t="shared" si="1"/>
        <v>-9.1499999999999998E-2</v>
      </c>
      <c r="G12" s="20"/>
      <c r="H12" s="9"/>
    </row>
    <row r="13" spans="2:9" outlineLevel="1" x14ac:dyDescent="0.25">
      <c r="B13" s="12" t="s">
        <v>41</v>
      </c>
      <c r="C13" s="4">
        <v>0</v>
      </c>
      <c r="D13" s="4">
        <v>0</v>
      </c>
      <c r="E13" s="17">
        <f t="shared" si="0"/>
        <v>0</v>
      </c>
      <c r="F13" s="27" t="e">
        <f t="shared" si="1"/>
        <v>#DIV/0!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225894</v>
      </c>
      <c r="D14" s="4">
        <v>205230</v>
      </c>
      <c r="E14" s="17">
        <f t="shared" si="0"/>
        <v>-20664</v>
      </c>
      <c r="F14" s="27">
        <f t="shared" si="1"/>
        <v>-9.1499999999999998E-2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7122875</v>
      </c>
      <c r="D15" s="4">
        <v>7821130</v>
      </c>
      <c r="E15" s="17">
        <f t="shared" si="0"/>
        <v>698255</v>
      </c>
      <c r="F15" s="27">
        <f t="shared" si="1"/>
        <v>9.8000000000000004E-2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6896981</v>
      </c>
      <c r="D16" s="4">
        <v>7615900</v>
      </c>
      <c r="E16" s="17">
        <f t="shared" si="0"/>
        <v>718919</v>
      </c>
      <c r="F16" s="27">
        <f t="shared" si="1"/>
        <v>0.1042</v>
      </c>
      <c r="G16" s="33" t="s">
        <v>48</v>
      </c>
      <c r="H16" s="33"/>
      <c r="I16" s="8">
        <f>SUM(H4:H10)</f>
        <v>9</v>
      </c>
    </row>
    <row r="17" spans="2:8" outlineLevel="1" x14ac:dyDescent="0.25">
      <c r="B17" s="12" t="s">
        <v>49</v>
      </c>
      <c r="C17" s="4">
        <v>6417689</v>
      </c>
      <c r="D17" s="4">
        <v>7477003</v>
      </c>
      <c r="E17" s="17">
        <f t="shared" si="0"/>
        <v>1059314</v>
      </c>
      <c r="F17" s="27">
        <f t="shared" si="1"/>
        <v>0.1651</v>
      </c>
      <c r="G17" s="9"/>
    </row>
    <row r="18" spans="2:8" outlineLevel="1" x14ac:dyDescent="0.25">
      <c r="B18" s="11" t="s">
        <v>50</v>
      </c>
      <c r="C18" s="4">
        <v>849845</v>
      </c>
      <c r="D18" s="4">
        <v>880380</v>
      </c>
      <c r="E18" s="17">
        <f t="shared" si="0"/>
        <v>30535</v>
      </c>
      <c r="F18" s="27">
        <f t="shared" si="1"/>
        <v>3.5900000000000001E-2</v>
      </c>
      <c r="G18" s="9"/>
      <c r="H18" s="9"/>
    </row>
    <row r="19" spans="2:8" outlineLevel="1" x14ac:dyDescent="0.25">
      <c r="B19" s="11" t="s">
        <v>51</v>
      </c>
      <c r="C19" s="4">
        <v>6133496</v>
      </c>
      <c r="D19" s="4">
        <v>5137742</v>
      </c>
      <c r="E19" s="17">
        <f t="shared" si="0"/>
        <v>-995754</v>
      </c>
      <c r="F19" s="27">
        <f t="shared" si="1"/>
        <v>-0.1623</v>
      </c>
      <c r="G19" s="9"/>
      <c r="H19" s="9"/>
    </row>
    <row r="20" spans="2:8" outlineLevel="1" x14ac:dyDescent="0.25">
      <c r="B20" s="12" t="s">
        <v>52</v>
      </c>
      <c r="C20" s="4">
        <v>4233305</v>
      </c>
      <c r="D20" s="4">
        <v>4173873</v>
      </c>
      <c r="E20" s="17">
        <f t="shared" si="0"/>
        <v>-59432</v>
      </c>
      <c r="F20" s="27">
        <f t="shared" si="1"/>
        <v>-1.4E-2</v>
      </c>
      <c r="G20" s="9"/>
      <c r="H20" s="9"/>
    </row>
    <row r="21" spans="2:8" outlineLevel="1" x14ac:dyDescent="0.25">
      <c r="B21" s="11" t="s">
        <v>53</v>
      </c>
      <c r="C21" s="4">
        <v>1900191</v>
      </c>
      <c r="D21" s="4">
        <v>963869</v>
      </c>
      <c r="E21" s="17">
        <f t="shared" si="0"/>
        <v>-936322</v>
      </c>
      <c r="F21" s="27">
        <f t="shared" si="1"/>
        <v>-0.49280000000000002</v>
      </c>
      <c r="G21" s="9"/>
      <c r="H21" s="9"/>
    </row>
    <row r="22" spans="2:8" outlineLevel="1" x14ac:dyDescent="0.25">
      <c r="B22" s="11" t="s">
        <v>54</v>
      </c>
      <c r="C22" s="4">
        <v>281404</v>
      </c>
      <c r="D22" s="4">
        <v>137889</v>
      </c>
      <c r="E22" s="17">
        <f t="shared" si="0"/>
        <v>-143515</v>
      </c>
      <c r="F22" s="27">
        <f t="shared" si="1"/>
        <v>-0.51</v>
      </c>
      <c r="G22" s="9"/>
      <c r="H22" s="9"/>
    </row>
    <row r="23" spans="2:8" outlineLevel="1" x14ac:dyDescent="0.25">
      <c r="B23" s="11" t="s">
        <v>55</v>
      </c>
      <c r="C23" s="4">
        <v>58957</v>
      </c>
      <c r="D23" s="4">
        <v>108366</v>
      </c>
      <c r="E23" s="17">
        <f t="shared" si="0"/>
        <v>49409</v>
      </c>
      <c r="F23" s="27">
        <f t="shared" si="1"/>
        <v>0.83809999999999996</v>
      </c>
      <c r="G23" s="9"/>
      <c r="H23" s="9"/>
    </row>
    <row r="24" spans="2:8" outlineLevel="1" x14ac:dyDescent="0.25">
      <c r="B24" s="11" t="s">
        <v>56</v>
      </c>
      <c r="C24" s="4">
        <v>3977619</v>
      </c>
      <c r="D24" s="4">
        <v>4642496</v>
      </c>
      <c r="E24" s="17">
        <f t="shared" si="0"/>
        <v>664877</v>
      </c>
      <c r="F24" s="27">
        <f t="shared" si="1"/>
        <v>0.16719999999999999</v>
      </c>
      <c r="G24" s="9"/>
      <c r="H24" s="9"/>
    </row>
    <row r="25" spans="2:8" outlineLevel="1" x14ac:dyDescent="0.25">
      <c r="B25" s="11" t="s">
        <v>57</v>
      </c>
      <c r="C25" s="4">
        <v>179592</v>
      </c>
      <c r="D25" s="4">
        <v>145341</v>
      </c>
      <c r="E25" s="17">
        <f t="shared" si="0"/>
        <v>-34251</v>
      </c>
      <c r="F25" s="27">
        <f t="shared" si="1"/>
        <v>-0.19070000000000001</v>
      </c>
      <c r="G25" s="9"/>
      <c r="H25" s="9"/>
    </row>
    <row r="26" spans="2:8" outlineLevel="1" x14ac:dyDescent="0.25">
      <c r="B26" s="11" t="s">
        <v>58</v>
      </c>
      <c r="C26" s="4">
        <v>0</v>
      </c>
      <c r="D26" s="4">
        <v>0</v>
      </c>
      <c r="E26" s="17">
        <f t="shared" si="0"/>
        <v>0</v>
      </c>
      <c r="F26" s="27" t="e">
        <f t="shared" si="1"/>
        <v>#DIV/0!</v>
      </c>
      <c r="G26" s="9"/>
      <c r="H26" s="9"/>
    </row>
    <row r="27" spans="2:8" outlineLevel="1" x14ac:dyDescent="0.25">
      <c r="B27" s="11" t="s">
        <v>59</v>
      </c>
      <c r="C27" s="4">
        <v>0</v>
      </c>
      <c r="D27" s="4">
        <v>0</v>
      </c>
      <c r="E27" s="17">
        <f t="shared" si="0"/>
        <v>0</v>
      </c>
      <c r="F27" s="27" t="e">
        <f t="shared" si="1"/>
        <v>#DIV/0!</v>
      </c>
      <c r="G27" s="9"/>
      <c r="H27" s="9"/>
    </row>
    <row r="28" spans="2:8" outlineLevel="1" x14ac:dyDescent="0.25">
      <c r="B28" s="11" t="s">
        <v>60</v>
      </c>
      <c r="C28" s="4">
        <v>51287</v>
      </c>
      <c r="D28" s="4">
        <v>8806</v>
      </c>
      <c r="E28" s="17">
        <f t="shared" si="0"/>
        <v>-42481</v>
      </c>
      <c r="F28" s="27">
        <f t="shared" si="1"/>
        <v>-0.82830000000000004</v>
      </c>
      <c r="G28" s="9"/>
      <c r="H28" s="9"/>
    </row>
    <row r="29" spans="2:8" outlineLevel="1" x14ac:dyDescent="0.25">
      <c r="B29" s="11" t="s">
        <v>61</v>
      </c>
      <c r="C29" s="4">
        <v>104754</v>
      </c>
      <c r="D29" s="6">
        <v>123277</v>
      </c>
      <c r="E29" s="17">
        <f t="shared" si="0"/>
        <v>18523</v>
      </c>
      <c r="F29" s="27">
        <f t="shared" si="1"/>
        <v>0.17680000000000001</v>
      </c>
      <c r="G29" s="9"/>
      <c r="H29" s="9"/>
    </row>
    <row r="30" spans="2:8" outlineLevel="1" x14ac:dyDescent="0.25">
      <c r="B30" s="12" t="s">
        <v>62</v>
      </c>
      <c r="C30" s="4">
        <v>1333029</v>
      </c>
      <c r="D30" s="4">
        <v>718995</v>
      </c>
      <c r="E30" s="17">
        <f t="shared" si="0"/>
        <v>-614034</v>
      </c>
      <c r="F30" s="27">
        <f t="shared" si="1"/>
        <v>-0.46060000000000001</v>
      </c>
      <c r="G30" s="9"/>
      <c r="H30" s="9"/>
    </row>
    <row r="31" spans="2:8" outlineLevel="1" x14ac:dyDescent="0.25">
      <c r="B31" s="12" t="s">
        <v>63</v>
      </c>
      <c r="C31" s="4">
        <v>1333016</v>
      </c>
      <c r="D31" s="4">
        <v>718919</v>
      </c>
      <c r="E31" s="17">
        <f t="shared" si="0"/>
        <v>-614097</v>
      </c>
      <c r="F31" s="27">
        <f t="shared" si="1"/>
        <v>-0.4607</v>
      </c>
      <c r="G31" s="9"/>
      <c r="H31" s="9"/>
    </row>
    <row r="32" spans="2:8" x14ac:dyDescent="0.25">
      <c r="B32" s="12" t="s">
        <v>64</v>
      </c>
      <c r="C32" s="4">
        <v>5556378</v>
      </c>
      <c r="D32" s="4">
        <v>6889394</v>
      </c>
      <c r="E32" s="17">
        <f t="shared" si="0"/>
        <v>1333016</v>
      </c>
      <c r="F32" s="27">
        <f t="shared" si="1"/>
        <v>0.2399</v>
      </c>
    </row>
    <row r="33" spans="2:6" ht="18.75" customHeight="1" x14ac:dyDescent="0.25">
      <c r="B33" s="12" t="s">
        <v>65</v>
      </c>
      <c r="C33" s="4">
        <v>44</v>
      </c>
      <c r="D33" s="4">
        <v>34</v>
      </c>
      <c r="E33" s="17">
        <f t="shared" si="0"/>
        <v>-10</v>
      </c>
      <c r="F33" s="27">
        <f t="shared" si="1"/>
        <v>-0.2273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04092-FFA7-44F8-B92B-6348AF48354E}">
  <sheetPr>
    <pageSetUpPr fitToPage="1"/>
  </sheetPr>
  <dimension ref="B2:I42"/>
  <sheetViews>
    <sheetView topLeftCell="B1" zoomScale="70" zoomScaleNormal="70" workbookViewId="0">
      <selection activeCell="D15" sqref="D15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78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1876942</v>
      </c>
      <c r="D4" s="13">
        <f>D30+D28+D29</f>
        <v>-2893265</v>
      </c>
      <c r="E4" s="13">
        <f t="shared" ref="E4:E33" si="0">D4-C4</f>
        <v>-4770207</v>
      </c>
      <c r="F4" s="14">
        <f>E4/C4</f>
        <v>-2.5415000000000001</v>
      </c>
      <c r="G4" s="10" t="s">
        <v>31</v>
      </c>
      <c r="H4" s="15">
        <f>IF(D4&gt;0,1,0)</f>
        <v>0</v>
      </c>
    </row>
    <row r="5" spans="2:9" x14ac:dyDescent="0.25">
      <c r="B5" s="10" t="s">
        <v>32</v>
      </c>
      <c r="C5" s="13">
        <f>C14/C4</f>
        <v>1.8</v>
      </c>
      <c r="D5" s="13">
        <f>D14/D4</f>
        <v>-1.97</v>
      </c>
      <c r="E5" s="13">
        <f t="shared" si="0"/>
        <v>-3.77</v>
      </c>
      <c r="F5" s="14">
        <f t="shared" ref="F5:F33" si="1">E5/C5</f>
        <v>-2.0943999999999998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6.87</v>
      </c>
      <c r="D6" s="13">
        <f>D11/D12</f>
        <v>3.18</v>
      </c>
      <c r="E6" s="13">
        <f t="shared" si="0"/>
        <v>-3.69</v>
      </c>
      <c r="F6" s="14">
        <f t="shared" si="1"/>
        <v>-0.53710000000000002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0.13</v>
      </c>
      <c r="D7" s="13">
        <f>D14/D16</f>
        <v>0.26</v>
      </c>
      <c r="E7" s="13">
        <f t="shared" si="0"/>
        <v>0.13</v>
      </c>
      <c r="F7" s="14">
        <f t="shared" si="1"/>
        <v>1</v>
      </c>
      <c r="G7" s="10" t="s">
        <v>31</v>
      </c>
      <c r="H7" s="15">
        <f>IF(D7&lt;0.7,1,0)</f>
        <v>1</v>
      </c>
    </row>
    <row r="8" spans="2:9" x14ac:dyDescent="0.25">
      <c r="B8" s="10" t="s">
        <v>36</v>
      </c>
      <c r="C8" s="13">
        <f>C4/(C28+C27+C26)</f>
        <v>0.73</v>
      </c>
      <c r="D8" s="13">
        <f>D4/(D28+D27+D26)</f>
        <v>-16.82</v>
      </c>
      <c r="E8" s="13">
        <f t="shared" si="0"/>
        <v>-17.55</v>
      </c>
      <c r="F8" s="14">
        <f t="shared" si="1"/>
        <v>-24.0411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4.8899999999999997</v>
      </c>
      <c r="D9" s="13">
        <f>(0.717*((D11-D12))/D15)+(0.847*(D32/D15))+(3.107*((D30+D28)/D15))+(0.42*(D16/(D12+D13)))+(0.998*(D19/D15))</f>
        <v>2.66</v>
      </c>
      <c r="E9" s="13">
        <f t="shared" si="0"/>
        <v>-2.23</v>
      </c>
      <c r="F9" s="14">
        <f t="shared" si="1"/>
        <v>-0.45600000000000002</v>
      </c>
      <c r="G9" s="10" t="s">
        <v>34</v>
      </c>
      <c r="H9" s="15">
        <f>IF(D9&lt;1.23,0,IF(D9&lt;2.9,1,2))</f>
        <v>1</v>
      </c>
    </row>
    <row r="10" spans="2:9" x14ac:dyDescent="0.25">
      <c r="B10" s="10" t="s">
        <v>38</v>
      </c>
      <c r="C10" s="13">
        <f>(C24+C18)/C12</f>
        <v>1.74</v>
      </c>
      <c r="D10" s="28">
        <f>(D24+D18)/D12</f>
        <v>0.89100000000000001</v>
      </c>
      <c r="E10" s="13">
        <f t="shared" si="0"/>
        <v>-0.85</v>
      </c>
      <c r="F10" s="14">
        <f t="shared" si="1"/>
        <v>-0.48849999999999999</v>
      </c>
      <c r="G10" s="16" t="s">
        <v>31</v>
      </c>
      <c r="H10" s="15">
        <f>IF(D10&gt;1,1,0)</f>
        <v>0</v>
      </c>
    </row>
    <row r="11" spans="2:9" outlineLevel="1" x14ac:dyDescent="0.25">
      <c r="B11" s="11" t="s">
        <v>39</v>
      </c>
      <c r="C11" s="4">
        <v>12651081</v>
      </c>
      <c r="D11" s="4">
        <v>6662450</v>
      </c>
      <c r="E11" s="17">
        <f t="shared" si="0"/>
        <v>-5988631</v>
      </c>
      <c r="F11" s="27">
        <f t="shared" si="1"/>
        <v>-0.47339999999999999</v>
      </c>
      <c r="G11" s="9"/>
      <c r="H11" s="9"/>
    </row>
    <row r="12" spans="2:9" outlineLevel="1" x14ac:dyDescent="0.25">
      <c r="B12" s="12" t="s">
        <v>40</v>
      </c>
      <c r="C12" s="4">
        <v>1842296</v>
      </c>
      <c r="D12" s="4">
        <v>2096654</v>
      </c>
      <c r="E12" s="17">
        <f t="shared" si="0"/>
        <v>254358</v>
      </c>
      <c r="F12" s="27">
        <f t="shared" si="1"/>
        <v>0.1381</v>
      </c>
      <c r="G12" s="20"/>
      <c r="H12" s="9"/>
    </row>
    <row r="13" spans="2:9" outlineLevel="1" x14ac:dyDescent="0.25">
      <c r="B13" s="12" t="s">
        <v>41</v>
      </c>
      <c r="C13" s="4">
        <v>1543228</v>
      </c>
      <c r="D13" s="4">
        <v>3607439</v>
      </c>
      <c r="E13" s="17">
        <f t="shared" si="0"/>
        <v>2064211</v>
      </c>
      <c r="F13" s="27">
        <f t="shared" si="1"/>
        <v>1.3375999999999999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3385524</v>
      </c>
      <c r="D14" s="4">
        <v>5704093</v>
      </c>
      <c r="E14" s="17">
        <f t="shared" si="0"/>
        <v>2318569</v>
      </c>
      <c r="F14" s="27">
        <f t="shared" si="1"/>
        <v>0.68479999999999996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30448800</v>
      </c>
      <c r="D15" s="4">
        <v>27288060</v>
      </c>
      <c r="E15" s="17">
        <f t="shared" si="0"/>
        <v>-3160740</v>
      </c>
      <c r="F15" s="27">
        <f t="shared" si="1"/>
        <v>-0.1038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27063276</v>
      </c>
      <c r="D16" s="4">
        <v>21583967</v>
      </c>
      <c r="E16" s="17">
        <f t="shared" si="0"/>
        <v>-5479309</v>
      </c>
      <c r="F16" s="27">
        <f t="shared" si="1"/>
        <v>-0.20250000000000001</v>
      </c>
      <c r="G16" s="33" t="s">
        <v>48</v>
      </c>
      <c r="H16" s="33"/>
      <c r="I16" s="8">
        <f>SUM(H4:H10)</f>
        <v>4</v>
      </c>
    </row>
    <row r="17" spans="2:8" outlineLevel="1" x14ac:dyDescent="0.25">
      <c r="B17" s="12" t="s">
        <v>49</v>
      </c>
      <c r="C17" s="4">
        <v>31315308</v>
      </c>
      <c r="D17" s="4">
        <v>28868430</v>
      </c>
      <c r="E17" s="17">
        <f t="shared" si="0"/>
        <v>-2446878</v>
      </c>
      <c r="F17" s="27">
        <f t="shared" si="1"/>
        <v>-7.8100000000000003E-2</v>
      </c>
      <c r="G17" s="9"/>
    </row>
    <row r="18" spans="2:8" outlineLevel="1" x14ac:dyDescent="0.25">
      <c r="B18" s="11" t="s">
        <v>50</v>
      </c>
      <c r="C18" s="4">
        <v>2373467</v>
      </c>
      <c r="D18" s="4">
        <v>1218200</v>
      </c>
      <c r="E18" s="17">
        <f t="shared" si="0"/>
        <v>-1155267</v>
      </c>
      <c r="F18" s="27">
        <f t="shared" si="1"/>
        <v>-0.48670000000000002</v>
      </c>
      <c r="G18" s="9"/>
      <c r="H18" s="9"/>
    </row>
    <row r="19" spans="2:8" outlineLevel="1" x14ac:dyDescent="0.25">
      <c r="B19" s="11" t="s">
        <v>51</v>
      </c>
      <c r="C19" s="4">
        <v>17603250</v>
      </c>
      <c r="D19" s="4">
        <v>21696229</v>
      </c>
      <c r="E19" s="17">
        <f t="shared" si="0"/>
        <v>4092979</v>
      </c>
      <c r="F19" s="27">
        <f t="shared" si="1"/>
        <v>0.23250000000000001</v>
      </c>
      <c r="G19" s="9"/>
      <c r="H19" s="9"/>
    </row>
    <row r="20" spans="2:8" outlineLevel="1" x14ac:dyDescent="0.25">
      <c r="B20" s="12" t="s">
        <v>52</v>
      </c>
      <c r="C20" s="4">
        <v>15703957</v>
      </c>
      <c r="D20" s="4">
        <v>24126848</v>
      </c>
      <c r="E20" s="17">
        <f t="shared" si="0"/>
        <v>8422891</v>
      </c>
      <c r="F20" s="27">
        <f t="shared" si="1"/>
        <v>0.53639999999999999</v>
      </c>
      <c r="G20" s="9"/>
      <c r="H20" s="9"/>
    </row>
    <row r="21" spans="2:8" outlineLevel="1" x14ac:dyDescent="0.25">
      <c r="B21" s="11" t="s">
        <v>53</v>
      </c>
      <c r="C21" s="4">
        <v>1899293</v>
      </c>
      <c r="D21" s="4">
        <v>-2430619</v>
      </c>
      <c r="E21" s="17">
        <f t="shared" si="0"/>
        <v>-4329912</v>
      </c>
      <c r="F21" s="27">
        <f t="shared" si="1"/>
        <v>-2.2797000000000001</v>
      </c>
      <c r="G21" s="9"/>
      <c r="H21" s="9"/>
    </row>
    <row r="22" spans="2:8" outlineLevel="1" x14ac:dyDescent="0.25">
      <c r="B22" s="11" t="s">
        <v>54</v>
      </c>
      <c r="C22" s="4">
        <v>373816</v>
      </c>
      <c r="D22" s="4">
        <v>505854</v>
      </c>
      <c r="E22" s="17">
        <f t="shared" si="0"/>
        <v>132038</v>
      </c>
      <c r="F22" s="27">
        <f t="shared" si="1"/>
        <v>0.35320000000000001</v>
      </c>
      <c r="G22" s="9"/>
      <c r="H22" s="9"/>
    </row>
    <row r="23" spans="2:8" outlineLevel="1" x14ac:dyDescent="0.25">
      <c r="B23" s="11" t="s">
        <v>55</v>
      </c>
      <c r="C23" s="4">
        <v>611984</v>
      </c>
      <c r="D23" s="4">
        <v>273524</v>
      </c>
      <c r="E23" s="17">
        <f t="shared" si="0"/>
        <v>-338460</v>
      </c>
      <c r="F23" s="27">
        <f t="shared" si="1"/>
        <v>-0.55310000000000004</v>
      </c>
      <c r="G23" s="9"/>
      <c r="H23" s="9"/>
    </row>
    <row r="24" spans="2:8" outlineLevel="1" x14ac:dyDescent="0.25">
      <c r="B24" s="11" t="s">
        <v>56</v>
      </c>
      <c r="C24" s="4">
        <v>827414</v>
      </c>
      <c r="D24" s="4">
        <v>650598</v>
      </c>
      <c r="E24" s="17">
        <f t="shared" si="0"/>
        <v>-176816</v>
      </c>
      <c r="F24" s="27">
        <f t="shared" si="1"/>
        <v>-0.2137</v>
      </c>
      <c r="G24" s="9"/>
      <c r="H24" s="9"/>
    </row>
    <row r="25" spans="2:8" outlineLevel="1" x14ac:dyDescent="0.25">
      <c r="B25" s="11" t="s">
        <v>57</v>
      </c>
      <c r="C25" s="4">
        <v>17459</v>
      </c>
      <c r="D25" s="4">
        <v>20331</v>
      </c>
      <c r="E25" s="17">
        <f t="shared" si="0"/>
        <v>2872</v>
      </c>
      <c r="F25" s="27">
        <f t="shared" si="1"/>
        <v>0.16450000000000001</v>
      </c>
      <c r="G25" s="9"/>
      <c r="H25" s="9"/>
    </row>
    <row r="26" spans="2:8" outlineLevel="1" x14ac:dyDescent="0.25">
      <c r="B26" s="11" t="s">
        <v>58</v>
      </c>
      <c r="C26" s="4">
        <v>2292749</v>
      </c>
      <c r="D26" s="4">
        <v>0</v>
      </c>
      <c r="E26" s="17">
        <f t="shared" si="0"/>
        <v>-2292749</v>
      </c>
      <c r="F26" s="27">
        <f t="shared" si="1"/>
        <v>-1</v>
      </c>
      <c r="G26" s="9"/>
      <c r="H26" s="9"/>
    </row>
    <row r="27" spans="2:8" outlineLevel="1" x14ac:dyDescent="0.25">
      <c r="B27" s="11" t="s">
        <v>59</v>
      </c>
      <c r="C27" s="4">
        <v>210987</v>
      </c>
      <c r="D27" s="4">
        <v>93090</v>
      </c>
      <c r="E27" s="17">
        <f t="shared" si="0"/>
        <v>-117897</v>
      </c>
      <c r="F27" s="27">
        <f t="shared" si="1"/>
        <v>-0.55879999999999996</v>
      </c>
      <c r="G27" s="9"/>
      <c r="H27" s="9"/>
    </row>
    <row r="28" spans="2:8" outlineLevel="1" x14ac:dyDescent="0.25">
      <c r="B28" s="11" t="s">
        <v>60</v>
      </c>
      <c r="C28" s="4">
        <v>59529</v>
      </c>
      <c r="D28" s="4">
        <v>78933</v>
      </c>
      <c r="E28" s="17">
        <f t="shared" si="0"/>
        <v>19404</v>
      </c>
      <c r="F28" s="27">
        <f t="shared" si="1"/>
        <v>0.32600000000000001</v>
      </c>
      <c r="G28" s="9"/>
      <c r="H28" s="9"/>
    </row>
    <row r="29" spans="2:8" outlineLevel="1" x14ac:dyDescent="0.25">
      <c r="B29" s="11" t="s">
        <v>61</v>
      </c>
      <c r="C29" s="4">
        <v>1807320</v>
      </c>
      <c r="D29" s="6">
        <v>2507111</v>
      </c>
      <c r="E29" s="17">
        <f t="shared" si="0"/>
        <v>699791</v>
      </c>
      <c r="F29" s="27">
        <f t="shared" si="1"/>
        <v>0.38719999999999999</v>
      </c>
      <c r="G29" s="9"/>
      <c r="H29" s="9"/>
    </row>
    <row r="30" spans="2:8" outlineLevel="1" x14ac:dyDescent="0.25">
      <c r="B30" s="12" t="s">
        <v>62</v>
      </c>
      <c r="C30" s="4">
        <v>10093</v>
      </c>
      <c r="D30" s="4">
        <v>-5479309</v>
      </c>
      <c r="E30" s="17">
        <f t="shared" si="0"/>
        <v>-5489402</v>
      </c>
      <c r="F30" s="27">
        <f t="shared" si="1"/>
        <v>-543.88210000000004</v>
      </c>
      <c r="G30" s="9"/>
      <c r="H30" s="9"/>
    </row>
    <row r="31" spans="2:8" outlineLevel="1" x14ac:dyDescent="0.25">
      <c r="B31" s="12" t="s">
        <v>63</v>
      </c>
      <c r="C31" s="4">
        <v>10093</v>
      </c>
      <c r="D31" s="4">
        <v>-5479309</v>
      </c>
      <c r="E31" s="17">
        <f t="shared" si="0"/>
        <v>-5489402</v>
      </c>
      <c r="F31" s="27">
        <f t="shared" si="1"/>
        <v>-543.88210000000004</v>
      </c>
      <c r="G31" s="9"/>
      <c r="H31" s="9"/>
    </row>
    <row r="32" spans="2:8" x14ac:dyDescent="0.25">
      <c r="B32" s="12" t="s">
        <v>64</v>
      </c>
      <c r="C32" s="4">
        <v>24795939</v>
      </c>
      <c r="D32" s="4">
        <v>24806032</v>
      </c>
      <c r="E32" s="17">
        <f t="shared" si="0"/>
        <v>10093</v>
      </c>
      <c r="F32" s="27">
        <f t="shared" si="1"/>
        <v>4.0000000000000002E-4</v>
      </c>
    </row>
    <row r="33" spans="2:6" ht="18.75" customHeight="1" x14ac:dyDescent="0.25">
      <c r="B33" s="12" t="s">
        <v>65</v>
      </c>
      <c r="C33" s="4">
        <v>102</v>
      </c>
      <c r="D33" s="4">
        <v>108</v>
      </c>
      <c r="E33" s="17">
        <f t="shared" si="0"/>
        <v>6</v>
      </c>
      <c r="F33" s="27">
        <f t="shared" si="1"/>
        <v>5.8799999999999998E-2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C28B4-5CAD-40DC-A827-FC448363F887}">
  <sheetPr>
    <pageSetUpPr fitToPage="1"/>
  </sheetPr>
  <dimension ref="B2:I42"/>
  <sheetViews>
    <sheetView zoomScale="70" zoomScaleNormal="70" workbookViewId="0">
      <selection activeCell="H28" sqref="H28"/>
    </sheetView>
  </sheetViews>
  <sheetFormatPr defaultColWidth="9.140625" defaultRowHeight="18.75" outlineLevelRow="1" outlineLevelCol="1" x14ac:dyDescent="0.25"/>
  <cols>
    <col min="1" max="1" width="9.140625" style="1"/>
    <col min="2" max="2" width="88.7109375" style="1" bestFit="1" customWidth="1"/>
    <col min="3" max="3" width="16.42578125" style="1" customWidth="1"/>
    <col min="4" max="4" width="18.28515625" style="1" customWidth="1"/>
    <col min="5" max="5" width="17.28515625" style="1" customWidth="1" outlineLevel="1"/>
    <col min="6" max="6" width="17" style="1" customWidth="1" outlineLevel="1"/>
    <col min="7" max="7" width="19.140625" style="1" bestFit="1" customWidth="1"/>
    <col min="8" max="8" width="18" style="1" customWidth="1"/>
    <col min="9" max="9" width="13.140625" style="1" customWidth="1"/>
    <col min="10" max="10" width="34.140625" style="1" customWidth="1"/>
    <col min="11" max="11" width="10.140625" style="1" bestFit="1" customWidth="1"/>
    <col min="12" max="16384" width="9.140625" style="1"/>
  </cols>
  <sheetData>
    <row r="2" spans="2:9" ht="20.25" x14ac:dyDescent="0.25">
      <c r="B2" s="29" t="s">
        <v>79</v>
      </c>
      <c r="C2" s="30"/>
      <c r="D2" s="30"/>
      <c r="E2" s="30"/>
      <c r="F2" s="30"/>
      <c r="G2" s="30"/>
      <c r="H2" s="31"/>
    </row>
    <row r="3" spans="2:9" ht="78" x14ac:dyDescent="0.25">
      <c r="B3" s="2" t="s">
        <v>25</v>
      </c>
      <c r="C3" s="3">
        <v>2022</v>
      </c>
      <c r="D3" s="3">
        <v>2023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2:9" x14ac:dyDescent="0.25">
      <c r="B4" s="10" t="s">
        <v>30</v>
      </c>
      <c r="C4" s="13">
        <f>C30+C28+C29</f>
        <v>30589193</v>
      </c>
      <c r="D4" s="13">
        <f>D30+D28+D29</f>
        <v>559620</v>
      </c>
      <c r="E4" s="13">
        <f t="shared" ref="E4:E31" si="0">D4-C4</f>
        <v>-30029573</v>
      </c>
      <c r="F4" s="14">
        <f>E4/C4</f>
        <v>-0.98170000000000002</v>
      </c>
      <c r="G4" s="10" t="s">
        <v>31</v>
      </c>
      <c r="H4" s="15">
        <f>IF(D4&gt;0,1,0)</f>
        <v>1</v>
      </c>
    </row>
    <row r="5" spans="2:9" x14ac:dyDescent="0.25">
      <c r="B5" s="10" t="s">
        <v>32</v>
      </c>
      <c r="C5" s="13">
        <f>C14/C4</f>
        <v>2.2400000000000002</v>
      </c>
      <c r="D5" s="13">
        <f>D14/D4</f>
        <v>128.56</v>
      </c>
      <c r="E5" s="13">
        <f t="shared" si="0"/>
        <v>126.32</v>
      </c>
      <c r="F5" s="14">
        <f t="shared" ref="F5:F33" si="1">E5/C5</f>
        <v>56.392899999999997</v>
      </c>
      <c r="G5" s="10" t="s">
        <v>31</v>
      </c>
      <c r="H5" s="15">
        <f>IF(AND(D5&gt;0,D5&lt;4),1,0)</f>
        <v>0</v>
      </c>
    </row>
    <row r="6" spans="2:9" x14ac:dyDescent="0.25">
      <c r="B6" s="10" t="s">
        <v>33</v>
      </c>
      <c r="C6" s="13">
        <f>C11/C12</f>
        <v>2.75</v>
      </c>
      <c r="D6" s="13">
        <f>D11/D12</f>
        <v>2.0699999999999998</v>
      </c>
      <c r="E6" s="13">
        <f t="shared" si="0"/>
        <v>-0.68</v>
      </c>
      <c r="F6" s="14">
        <f t="shared" si="1"/>
        <v>-0.24729999999999999</v>
      </c>
      <c r="G6" s="10" t="s">
        <v>34</v>
      </c>
      <c r="H6" s="15">
        <f>IF(D6&lt;1,0,IF(D6&lt;2,1,2))</f>
        <v>2</v>
      </c>
    </row>
    <row r="7" spans="2:9" x14ac:dyDescent="0.25">
      <c r="B7" s="10" t="s">
        <v>35</v>
      </c>
      <c r="C7" s="13">
        <f>C14/C16</f>
        <v>0.67</v>
      </c>
      <c r="D7" s="13">
        <f>D14/D16</f>
        <v>0.78</v>
      </c>
      <c r="E7" s="13">
        <f t="shared" si="0"/>
        <v>0.11</v>
      </c>
      <c r="F7" s="14">
        <f t="shared" si="1"/>
        <v>0.16420000000000001</v>
      </c>
      <c r="G7" s="10" t="s">
        <v>31</v>
      </c>
      <c r="H7" s="15">
        <f>IF(D7&lt;0.7,1,0)</f>
        <v>0</v>
      </c>
    </row>
    <row r="8" spans="2:9" x14ac:dyDescent="0.25">
      <c r="B8" s="10" t="s">
        <v>36</v>
      </c>
      <c r="C8" s="13">
        <f>C4/(C28+C27+C26)</f>
        <v>6.73</v>
      </c>
      <c r="D8" s="13">
        <f>D4/(D28+D27+D26)</f>
        <v>0.09</v>
      </c>
      <c r="E8" s="13">
        <f t="shared" si="0"/>
        <v>-6.64</v>
      </c>
      <c r="F8" s="14">
        <f t="shared" si="1"/>
        <v>-0.98660000000000003</v>
      </c>
      <c r="G8" s="10" t="s">
        <v>31</v>
      </c>
      <c r="H8" s="15">
        <f>IF(D8&lt;1.2,0,1)</f>
        <v>0</v>
      </c>
    </row>
    <row r="9" spans="2:9" x14ac:dyDescent="0.25">
      <c r="B9" s="10" t="s">
        <v>37</v>
      </c>
      <c r="C9" s="13">
        <f>(0.717*((C11-C12))/C15)+(0.847*(C32/C15))+(3.107*((C30+C28)/C15))+(0.42*(C16/(C12+C13)))+(0.998*(C19/C15))</f>
        <v>3.4</v>
      </c>
      <c r="D9" s="13">
        <f>(0.717*((D11-D12))/D15)+(0.847*(D32/D15))+(3.107*((D30+D28)/D15))+(0.42*(D16/(D12+D13)))+(0.998*(D19/D15))</f>
        <v>2.36</v>
      </c>
      <c r="E9" s="13">
        <f t="shared" si="0"/>
        <v>-1.04</v>
      </c>
      <c r="F9" s="14">
        <f t="shared" si="1"/>
        <v>-0.30590000000000001</v>
      </c>
      <c r="G9" s="10" t="s">
        <v>34</v>
      </c>
      <c r="H9" s="15">
        <f>IF(D9&lt;1.23,0,IF(D9&lt;2.9,1,2))</f>
        <v>1</v>
      </c>
    </row>
    <row r="10" spans="2:9" x14ac:dyDescent="0.25">
      <c r="B10" s="10" t="s">
        <v>38</v>
      </c>
      <c r="C10" s="13">
        <f>(C24+C18)/C12</f>
        <v>1.04</v>
      </c>
      <c r="D10" s="13">
        <f>(D24+D18)/D12</f>
        <v>0.85</v>
      </c>
      <c r="E10" s="13">
        <f t="shared" si="0"/>
        <v>-0.19</v>
      </c>
      <c r="F10" s="14">
        <f t="shared" si="1"/>
        <v>-0.1827</v>
      </c>
      <c r="G10" s="16" t="s">
        <v>31</v>
      </c>
      <c r="H10" s="15">
        <f>IF(D10&gt;1,1,0)</f>
        <v>0</v>
      </c>
    </row>
    <row r="11" spans="2:9" outlineLevel="1" x14ac:dyDescent="0.25">
      <c r="B11" s="11" t="s">
        <v>39</v>
      </c>
      <c r="C11" s="4">
        <v>88355500</v>
      </c>
      <c r="D11" s="4">
        <v>72207024</v>
      </c>
      <c r="E11" s="17">
        <f t="shared" si="0"/>
        <v>-16148476</v>
      </c>
      <c r="F11" s="27">
        <f t="shared" si="1"/>
        <v>-0.18279999999999999</v>
      </c>
      <c r="G11" s="9"/>
      <c r="H11" s="9"/>
    </row>
    <row r="12" spans="2:9" outlineLevel="1" x14ac:dyDescent="0.25">
      <c r="B12" s="12" t="s">
        <v>40</v>
      </c>
      <c r="C12" s="4">
        <v>32129320</v>
      </c>
      <c r="D12" s="4">
        <v>34824496</v>
      </c>
      <c r="E12" s="17">
        <f t="shared" si="0"/>
        <v>2695176</v>
      </c>
      <c r="F12" s="27">
        <f t="shared" si="1"/>
        <v>8.3900000000000002E-2</v>
      </c>
      <c r="G12" s="20"/>
      <c r="H12" s="9"/>
    </row>
    <row r="13" spans="2:9" outlineLevel="1" x14ac:dyDescent="0.25">
      <c r="B13" s="12" t="s">
        <v>41</v>
      </c>
      <c r="C13" s="4">
        <v>36262899</v>
      </c>
      <c r="D13" s="4">
        <v>37122069</v>
      </c>
      <c r="E13" s="17">
        <f t="shared" si="0"/>
        <v>859170</v>
      </c>
      <c r="F13" s="27">
        <f t="shared" si="1"/>
        <v>2.3699999999999999E-2</v>
      </c>
      <c r="G13" s="33" t="s">
        <v>42</v>
      </c>
      <c r="H13" s="33"/>
      <c r="I13" s="7">
        <v>9</v>
      </c>
    </row>
    <row r="14" spans="2:9" outlineLevel="1" x14ac:dyDescent="0.25">
      <c r="B14" s="11" t="s">
        <v>43</v>
      </c>
      <c r="C14" s="4">
        <v>68392219</v>
      </c>
      <c r="D14" s="4">
        <v>71946565</v>
      </c>
      <c r="E14" s="17">
        <f t="shared" si="0"/>
        <v>3554346</v>
      </c>
      <c r="F14" s="27">
        <f t="shared" si="1"/>
        <v>5.1999999999999998E-2</v>
      </c>
      <c r="G14" s="33" t="s">
        <v>44</v>
      </c>
      <c r="H14" s="33"/>
      <c r="I14" s="7">
        <v>5</v>
      </c>
    </row>
    <row r="15" spans="2:9" outlineLevel="1" x14ac:dyDescent="0.25">
      <c r="B15" s="11" t="s">
        <v>45</v>
      </c>
      <c r="C15" s="4">
        <v>170434133</v>
      </c>
      <c r="D15" s="4">
        <v>164009497</v>
      </c>
      <c r="E15" s="17">
        <f t="shared" si="0"/>
        <v>-6424636</v>
      </c>
      <c r="F15" s="27">
        <f t="shared" si="1"/>
        <v>-3.7699999999999997E-2</v>
      </c>
      <c r="G15" s="33" t="s">
        <v>46</v>
      </c>
      <c r="H15" s="33"/>
      <c r="I15" s="7">
        <v>0</v>
      </c>
    </row>
    <row r="16" spans="2:9" outlineLevel="1" x14ac:dyDescent="0.25">
      <c r="B16" s="11" t="s">
        <v>47</v>
      </c>
      <c r="C16" s="4">
        <v>102041914</v>
      </c>
      <c r="D16" s="4">
        <v>92062932</v>
      </c>
      <c r="E16" s="17">
        <f t="shared" si="0"/>
        <v>-9978982</v>
      </c>
      <c r="F16" s="27">
        <f t="shared" si="1"/>
        <v>-9.7799999999999998E-2</v>
      </c>
      <c r="G16" s="33" t="s">
        <v>48</v>
      </c>
      <c r="H16" s="33"/>
      <c r="I16" s="8">
        <f>SUM(H4:H10)</f>
        <v>4</v>
      </c>
    </row>
    <row r="17" spans="2:8" outlineLevel="1" x14ac:dyDescent="0.25">
      <c r="B17" s="12" t="s">
        <v>49</v>
      </c>
      <c r="C17" s="4">
        <v>151872723</v>
      </c>
      <c r="D17" s="4">
        <v>167221815</v>
      </c>
      <c r="E17" s="17">
        <f t="shared" si="0"/>
        <v>15349092</v>
      </c>
      <c r="F17" s="27">
        <f t="shared" si="1"/>
        <v>0.1011</v>
      </c>
      <c r="G17" s="9"/>
    </row>
    <row r="18" spans="2:8" outlineLevel="1" x14ac:dyDescent="0.25">
      <c r="B18" s="11" t="s">
        <v>50</v>
      </c>
      <c r="C18" s="4">
        <v>31271667</v>
      </c>
      <c r="D18" s="4">
        <v>29111524</v>
      </c>
      <c r="E18" s="17">
        <f t="shared" si="0"/>
        <v>-2160143</v>
      </c>
      <c r="F18" s="27">
        <f t="shared" si="1"/>
        <v>-6.9099999999999995E-2</v>
      </c>
      <c r="G18" s="9"/>
      <c r="H18" s="9"/>
    </row>
    <row r="19" spans="2:8" outlineLevel="1" x14ac:dyDescent="0.25">
      <c r="B19" s="11" t="s">
        <v>51</v>
      </c>
      <c r="C19" s="4">
        <v>314368648</v>
      </c>
      <c r="D19" s="4">
        <v>230915299</v>
      </c>
      <c r="E19" s="17">
        <f t="shared" si="0"/>
        <v>-83453349</v>
      </c>
      <c r="F19" s="27">
        <f t="shared" si="1"/>
        <v>-0.26550000000000001</v>
      </c>
      <c r="G19" s="9"/>
      <c r="H19" s="9"/>
    </row>
    <row r="20" spans="2:8" outlineLevel="1" x14ac:dyDescent="0.25">
      <c r="B20" s="12" t="s">
        <v>52</v>
      </c>
      <c r="C20" s="4">
        <v>264246241</v>
      </c>
      <c r="D20" s="4">
        <v>207229865</v>
      </c>
      <c r="E20" s="17">
        <f t="shared" si="0"/>
        <v>-57016376</v>
      </c>
      <c r="F20" s="27">
        <f t="shared" si="1"/>
        <v>-0.21579999999999999</v>
      </c>
      <c r="G20" s="9"/>
      <c r="H20" s="9"/>
    </row>
    <row r="21" spans="2:8" outlineLevel="1" x14ac:dyDescent="0.25">
      <c r="B21" s="11" t="s">
        <v>53</v>
      </c>
      <c r="C21" s="4">
        <v>50122407</v>
      </c>
      <c r="D21" s="4">
        <v>23685434</v>
      </c>
      <c r="E21" s="17">
        <f t="shared" si="0"/>
        <v>-26436973</v>
      </c>
      <c r="F21" s="27">
        <f t="shared" si="1"/>
        <v>-0.52739999999999998</v>
      </c>
      <c r="G21" s="9"/>
      <c r="H21" s="9"/>
    </row>
    <row r="22" spans="2:8" outlineLevel="1" x14ac:dyDescent="0.25">
      <c r="B22" s="11" t="s">
        <v>54</v>
      </c>
      <c r="C22" s="4">
        <v>7028498</v>
      </c>
      <c r="D22" s="4">
        <v>7610584</v>
      </c>
      <c r="E22" s="17">
        <f t="shared" si="0"/>
        <v>582086</v>
      </c>
      <c r="F22" s="27">
        <f t="shared" si="1"/>
        <v>8.2799999999999999E-2</v>
      </c>
      <c r="G22" s="9"/>
      <c r="H22" s="9"/>
    </row>
    <row r="23" spans="2:8" outlineLevel="1" x14ac:dyDescent="0.25">
      <c r="B23" s="11" t="s">
        <v>55</v>
      </c>
      <c r="C23" s="4">
        <v>1822177</v>
      </c>
      <c r="D23" s="4">
        <v>1218839</v>
      </c>
      <c r="E23" s="17">
        <f t="shared" si="0"/>
        <v>-603338</v>
      </c>
      <c r="F23" s="27">
        <f t="shared" si="1"/>
        <v>-0.33110000000000001</v>
      </c>
      <c r="G23" s="9"/>
      <c r="H23" s="9"/>
    </row>
    <row r="24" spans="2:8" outlineLevel="1" x14ac:dyDescent="0.25">
      <c r="B24" s="11" t="s">
        <v>56</v>
      </c>
      <c r="C24" s="4">
        <v>2242970</v>
      </c>
      <c r="D24" s="4">
        <v>461204</v>
      </c>
      <c r="E24" s="17">
        <f t="shared" si="0"/>
        <v>-1781766</v>
      </c>
      <c r="F24" s="27">
        <f t="shared" si="1"/>
        <v>-0.7944</v>
      </c>
      <c r="G24" s="9"/>
      <c r="H24" s="9"/>
    </row>
    <row r="25" spans="2:8" outlineLevel="1" x14ac:dyDescent="0.25">
      <c r="B25" s="11" t="s">
        <v>57</v>
      </c>
      <c r="C25" s="4">
        <v>4441522</v>
      </c>
      <c r="D25" s="4">
        <v>3996390</v>
      </c>
      <c r="E25" s="17">
        <f t="shared" si="0"/>
        <v>-445132</v>
      </c>
      <c r="F25" s="27">
        <f t="shared" si="1"/>
        <v>-0.1002</v>
      </c>
      <c r="G25" s="9"/>
      <c r="H25" s="9"/>
    </row>
    <row r="26" spans="2:8" outlineLevel="1" x14ac:dyDescent="0.25">
      <c r="B26" s="11" t="s">
        <v>58</v>
      </c>
      <c r="C26" s="4">
        <v>2294344</v>
      </c>
      <c r="D26" s="4">
        <v>2860730</v>
      </c>
      <c r="E26" s="17">
        <f t="shared" si="0"/>
        <v>566386</v>
      </c>
      <c r="F26" s="27">
        <f t="shared" si="1"/>
        <v>0.24690000000000001</v>
      </c>
      <c r="G26" s="9"/>
      <c r="H26" s="9"/>
    </row>
    <row r="27" spans="2:8" outlineLevel="1" x14ac:dyDescent="0.25">
      <c r="B27" s="11" t="s">
        <v>59</v>
      </c>
      <c r="C27" s="4">
        <v>1198167</v>
      </c>
      <c r="D27" s="4">
        <v>1590796</v>
      </c>
      <c r="E27" s="17">
        <f t="shared" si="0"/>
        <v>392629</v>
      </c>
      <c r="F27" s="27">
        <f t="shared" si="1"/>
        <v>0.32769999999999999</v>
      </c>
      <c r="G27" s="9"/>
      <c r="H27" s="9"/>
    </row>
    <row r="28" spans="2:8" outlineLevel="1" x14ac:dyDescent="0.25">
      <c r="B28" s="11" t="s">
        <v>60</v>
      </c>
      <c r="C28" s="4">
        <v>1054936</v>
      </c>
      <c r="D28" s="4">
        <v>1772504</v>
      </c>
      <c r="E28" s="17">
        <f t="shared" si="0"/>
        <v>717568</v>
      </c>
      <c r="F28" s="27">
        <f t="shared" si="1"/>
        <v>0.68020000000000003</v>
      </c>
      <c r="G28" s="9"/>
      <c r="H28" s="9"/>
    </row>
    <row r="29" spans="2:8" outlineLevel="1" x14ac:dyDescent="0.25">
      <c r="B29" s="11" t="s">
        <v>61</v>
      </c>
      <c r="C29" s="4">
        <v>6472672</v>
      </c>
      <c r="D29" s="6">
        <v>7256765</v>
      </c>
      <c r="E29" s="17">
        <f t="shared" si="0"/>
        <v>784093</v>
      </c>
      <c r="F29" s="27">
        <f t="shared" si="1"/>
        <v>0.1211</v>
      </c>
      <c r="G29" s="9"/>
      <c r="H29" s="9"/>
    </row>
    <row r="30" spans="2:8" outlineLevel="1" x14ac:dyDescent="0.25">
      <c r="B30" s="12" t="s">
        <v>62</v>
      </c>
      <c r="C30" s="4">
        <v>23061585</v>
      </c>
      <c r="D30" s="4">
        <v>-8469649</v>
      </c>
      <c r="E30" s="17">
        <f t="shared" si="0"/>
        <v>-31531234</v>
      </c>
      <c r="F30" s="27">
        <f t="shared" si="1"/>
        <v>-1.3673</v>
      </c>
      <c r="G30" s="9"/>
      <c r="H30" s="9"/>
    </row>
    <row r="31" spans="2:8" outlineLevel="1" x14ac:dyDescent="0.25">
      <c r="B31" s="12" t="s">
        <v>63</v>
      </c>
      <c r="C31" s="4">
        <v>23074205</v>
      </c>
      <c r="D31" s="4">
        <v>-8563797</v>
      </c>
      <c r="E31" s="17">
        <f t="shared" si="0"/>
        <v>-31638002</v>
      </c>
      <c r="F31" s="27">
        <f t="shared" si="1"/>
        <v>-1.3711</v>
      </c>
      <c r="G31" s="9"/>
      <c r="H31" s="9"/>
    </row>
    <row r="32" spans="2:8" x14ac:dyDescent="0.25">
      <c r="B32" s="12" t="s">
        <v>64</v>
      </c>
      <c r="C32" s="4">
        <v>51451106</v>
      </c>
      <c r="D32" s="4">
        <v>73263101</v>
      </c>
      <c r="E32" s="17">
        <f t="shared" ref="E32:E33" si="2">D32-C32</f>
        <v>21811995</v>
      </c>
      <c r="F32" s="27">
        <f t="shared" si="1"/>
        <v>0.4239</v>
      </c>
    </row>
    <row r="33" spans="2:6" ht="18.75" customHeight="1" x14ac:dyDescent="0.25">
      <c r="B33" s="12" t="s">
        <v>65</v>
      </c>
      <c r="C33" s="4">
        <v>697</v>
      </c>
      <c r="D33" s="4">
        <v>697</v>
      </c>
      <c r="E33" s="17">
        <f t="shared" si="2"/>
        <v>0</v>
      </c>
      <c r="F33" s="27">
        <f t="shared" si="1"/>
        <v>0</v>
      </c>
    </row>
    <row r="36" spans="2:6" ht="218.25" customHeight="1" x14ac:dyDescent="0.25"/>
    <row r="37" spans="2:6" ht="102.75" customHeight="1" x14ac:dyDescent="0.25"/>
    <row r="39" spans="2:6" ht="84.75" customHeight="1" x14ac:dyDescent="0.25"/>
    <row r="40" spans="2:6" ht="137.25" customHeight="1" x14ac:dyDescent="0.25"/>
    <row r="41" spans="2:6" ht="201.75" customHeight="1" x14ac:dyDescent="0.25"/>
    <row r="42" spans="2:6" ht="129" customHeight="1" x14ac:dyDescent="0.25"/>
  </sheetData>
  <sheetProtection formatCells="0" formatColumns="0" formatRows="0" insertColumns="0" insertRows="0" insertHyperlinks="0" deleteColumns="0" deleteRows="0" sort="0" autoFilter="0" pivotTables="0"/>
  <mergeCells count="5">
    <mergeCell ref="B2:H2"/>
    <mergeCell ref="G13:H13"/>
    <mergeCell ref="G14:H14"/>
    <mergeCell ref="G15:H15"/>
    <mergeCell ref="G16:H16"/>
  </mergeCells>
  <conditionalFormatting sqref="I16 I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55" orientation="landscape" r:id="rId1"/>
  <drawing r:id="rId2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Darbinieku skaits</vt:lpstr>
      <vt:lpstr>Peļņa</vt:lpstr>
      <vt:lpstr>Kurekss SIA</vt:lpstr>
      <vt:lpstr>Piebalgas SIA </vt:lpstr>
      <vt:lpstr>Pata Jēkabpils SIA</vt:lpstr>
      <vt:lpstr>Pata Saldus SIA</vt:lpstr>
      <vt:lpstr>Gaujas Koks SIA</vt:lpstr>
      <vt:lpstr>Stora Enso Latvija AS</vt:lpstr>
      <vt:lpstr>Vika Wood SIA</vt:lpstr>
      <vt:lpstr>BSW Latvia SIA</vt:lpstr>
      <vt:lpstr>AKZ SIA</vt:lpstr>
      <vt:lpstr>Rettenmeier Baltic Timber SIA</vt:lpstr>
      <vt:lpstr>Smiltene Impex SIA</vt:lpstr>
      <vt:lpstr>SIA Krauzers</vt:lpstr>
      <vt:lpstr>SIA Silpec</vt:lpstr>
      <vt:lpstr>SIA Vudlande</vt:lpstr>
      <vt:lpstr>Pata SIA (konsolidēti)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Dmitrijs Skoruks</dc:creator>
  <cp:keywords/>
  <dc:description/>
  <cp:lastModifiedBy>Zane Kirina</cp:lastModifiedBy>
  <cp:revision/>
  <dcterms:created xsi:type="dcterms:W3CDTF">2017-01-31T11:51:16Z</dcterms:created>
  <dcterms:modified xsi:type="dcterms:W3CDTF">2026-01-23T09:58:57Z</dcterms:modified>
  <cp:category/>
  <cp:contentStatus/>
</cp:coreProperties>
</file>