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Sanda.Lejniece\My Documents\Sandas dokumenti\Reformu  plāns\Slimnīcu līmeņi_2023_II\Ziņojums un izmantotie dokumenti\Info_zin_240723\Iesniegts TAP\09.08.2023\VK\180823\"/>
    </mc:Choice>
  </mc:AlternateContent>
  <xr:revisionPtr revIDLastSave="0" documentId="13_ncr:1_{8341EDA7-D02F-45B0-BA6E-7ACC8E458CC8}" xr6:coauthVersionLast="47" xr6:coauthVersionMax="47" xr10:uidLastSave="{00000000-0000-0000-0000-000000000000}"/>
  <bookViews>
    <workbookView xWindow="-110" yWindow="-110" windowWidth="19420" windowHeight="10420" tabRatio="958" xr2:uid="{3C17D82C-1298-4627-BC8D-DEF4CE9A8D01}"/>
  </bookViews>
  <sheets>
    <sheet name="KOPSAVILKUMS" sheetId="4" r:id="rId1"/>
    <sheet name="Specialisti - aprekini_jaunais" sheetId="1" r:id="rId2"/>
    <sheet name="Darba algas UZŅEMŠANĀ_jaunais" sheetId="3" r:id="rId3"/>
    <sheet name="2024 uzņemšana elementi" sheetId="9" r:id="rId4"/>
    <sheet name="2023 aprēķins" sheetId="6" r:id="rId5"/>
    <sheet name="2023 uzņemšana elementi" sheetId="10" r:id="rId6"/>
  </sheets>
  <definedNames>
    <definedName name="_xlnm._FilterDatabase" localSheetId="4" hidden="1">'2023 aprēķins'!$A$12:$AD$303</definedName>
    <definedName name="_xlnm.Print_Area" localSheetId="2">'Darba algas UZŅEMŠANĀ_jaunais'!$A$1:$BF$118</definedName>
    <definedName name="_xlnm.Print_Area" localSheetId="0">KOPSAVILKUMS!$A$1:$G$37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1" l="1"/>
  <c r="N23" i="1"/>
  <c r="N40" i="1"/>
  <c r="N58" i="1"/>
  <c r="N76" i="1"/>
  <c r="N94" i="1"/>
  <c r="N112" i="1"/>
  <c r="N130" i="1"/>
  <c r="N149" i="1"/>
  <c r="N167" i="1"/>
  <c r="N189" i="1"/>
  <c r="N208" i="1"/>
  <c r="N227" i="1"/>
  <c r="N245" i="1"/>
  <c r="N263" i="1"/>
  <c r="N281" i="1"/>
  <c r="N299" i="1"/>
  <c r="N317" i="1"/>
  <c r="N335" i="1"/>
  <c r="N354" i="1"/>
  <c r="N372" i="1"/>
  <c r="N390" i="1"/>
  <c r="N408" i="1"/>
  <c r="N426" i="1"/>
  <c r="N444" i="1"/>
  <c r="N463" i="1"/>
  <c r="N481" i="1"/>
  <c r="N499" i="1"/>
  <c r="N517" i="1"/>
  <c r="N535" i="1"/>
  <c r="BA34" i="3" l="1"/>
  <c r="BA35" i="3"/>
  <c r="BA36" i="3"/>
  <c r="BA37" i="3"/>
  <c r="BA43" i="3"/>
  <c r="BA44" i="3"/>
  <c r="BA49" i="3"/>
  <c r="BA50" i="3"/>
  <c r="BA51" i="3"/>
  <c r="D8" i="9"/>
  <c r="D19" i="9"/>
  <c r="D32" i="9"/>
  <c r="D37" i="9"/>
  <c r="BA21" i="3"/>
  <c r="BA22" i="3"/>
  <c r="BA27" i="3"/>
  <c r="BA28" i="3"/>
  <c r="BA29" i="3"/>
  <c r="G4" i="6"/>
  <c r="F5" i="6"/>
  <c r="E20" i="6" s="1"/>
  <c r="F6" i="6"/>
  <c r="E121" i="6" s="1"/>
  <c r="F7" i="6"/>
  <c r="F8" i="6"/>
  <c r="G8" i="6"/>
  <c r="F9" i="6"/>
  <c r="E45" i="6" s="1"/>
  <c r="C14" i="6"/>
  <c r="G14" i="6" s="1"/>
  <c r="H14" i="6"/>
  <c r="L16" i="6"/>
  <c r="N16" i="6"/>
  <c r="N13" i="6" s="1"/>
  <c r="O16" i="6"/>
  <c r="P16" i="6"/>
  <c r="L17" i="6"/>
  <c r="N17" i="6"/>
  <c r="O17" i="6"/>
  <c r="P17" i="6"/>
  <c r="E18" i="6"/>
  <c r="L18" i="6"/>
  <c r="N18" i="6"/>
  <c r="O18" i="6"/>
  <c r="P18" i="6"/>
  <c r="L19" i="6"/>
  <c r="N19" i="6"/>
  <c r="O19" i="6"/>
  <c r="P19" i="6"/>
  <c r="L20" i="6"/>
  <c r="N20" i="6"/>
  <c r="O20" i="6"/>
  <c r="P20" i="6"/>
  <c r="L21" i="6"/>
  <c r="N21" i="6"/>
  <c r="O21" i="6"/>
  <c r="P21" i="6"/>
  <c r="L22" i="6"/>
  <c r="N22" i="6"/>
  <c r="O22" i="6"/>
  <c r="P22" i="6"/>
  <c r="E23" i="6"/>
  <c r="L23" i="6"/>
  <c r="N23" i="6"/>
  <c r="O23" i="6"/>
  <c r="P23" i="6"/>
  <c r="L24" i="6"/>
  <c r="N24" i="6"/>
  <c r="O24" i="6"/>
  <c r="P24" i="6"/>
  <c r="L25" i="6"/>
  <c r="N25" i="6"/>
  <c r="O25" i="6"/>
  <c r="P25" i="6"/>
  <c r="L26" i="6"/>
  <c r="N26" i="6"/>
  <c r="O26" i="6"/>
  <c r="P26" i="6"/>
  <c r="L27" i="6"/>
  <c r="N27" i="6"/>
  <c r="O27" i="6"/>
  <c r="P27" i="6"/>
  <c r="L28" i="6"/>
  <c r="N28" i="6"/>
  <c r="O28" i="6"/>
  <c r="P28" i="6"/>
  <c r="C30" i="6"/>
  <c r="L32" i="6"/>
  <c r="N32" i="6"/>
  <c r="O32" i="6"/>
  <c r="P32" i="6"/>
  <c r="L33" i="6"/>
  <c r="N33" i="6"/>
  <c r="O33" i="6"/>
  <c r="P33" i="6"/>
  <c r="L34" i="6"/>
  <c r="N34" i="6"/>
  <c r="O34" i="6"/>
  <c r="P34" i="6"/>
  <c r="L35" i="6"/>
  <c r="N35" i="6"/>
  <c r="O35" i="6"/>
  <c r="P35" i="6"/>
  <c r="L36" i="6"/>
  <c r="N36" i="6"/>
  <c r="O36" i="6"/>
  <c r="P36" i="6"/>
  <c r="L37" i="6"/>
  <c r="N37" i="6"/>
  <c r="O37" i="6"/>
  <c r="P37" i="6"/>
  <c r="L38" i="6"/>
  <c r="N38" i="6"/>
  <c r="O38" i="6"/>
  <c r="P38" i="6"/>
  <c r="L39" i="6"/>
  <c r="N39" i="6"/>
  <c r="O39" i="6"/>
  <c r="P39" i="6"/>
  <c r="L40" i="6"/>
  <c r="N40" i="6"/>
  <c r="O40" i="6"/>
  <c r="P40" i="6"/>
  <c r="L41" i="6"/>
  <c r="N41" i="6"/>
  <c r="O41" i="6"/>
  <c r="P41" i="6"/>
  <c r="L42" i="6"/>
  <c r="N42" i="6"/>
  <c r="O42" i="6"/>
  <c r="P42" i="6"/>
  <c r="L43" i="6"/>
  <c r="N43" i="6"/>
  <c r="O43" i="6"/>
  <c r="P43" i="6"/>
  <c r="L44" i="6"/>
  <c r="N44" i="6"/>
  <c r="O44" i="6"/>
  <c r="P44" i="6"/>
  <c r="L45" i="6"/>
  <c r="N45" i="6"/>
  <c r="O45" i="6"/>
  <c r="P45" i="6"/>
  <c r="C47" i="6"/>
  <c r="B48" i="6"/>
  <c r="G48" i="6"/>
  <c r="H48" i="6"/>
  <c r="I48" i="6"/>
  <c r="L49" i="6"/>
  <c r="N49" i="6"/>
  <c r="O49" i="6"/>
  <c r="O46" i="6" s="1"/>
  <c r="P49" i="6"/>
  <c r="P46" i="6" s="1"/>
  <c r="L50" i="6"/>
  <c r="N50" i="6"/>
  <c r="O50" i="6"/>
  <c r="P50" i="6"/>
  <c r="L51" i="6"/>
  <c r="N51" i="6"/>
  <c r="O51" i="6"/>
  <c r="P51" i="6"/>
  <c r="L52" i="6"/>
  <c r="N52" i="6"/>
  <c r="O52" i="6"/>
  <c r="P52" i="6"/>
  <c r="E53" i="6"/>
  <c r="L53" i="6"/>
  <c r="N53" i="6"/>
  <c r="O53" i="6"/>
  <c r="P53" i="6"/>
  <c r="L54" i="6"/>
  <c r="N54" i="6"/>
  <c r="O54" i="6"/>
  <c r="P54" i="6"/>
  <c r="P55" i="6"/>
  <c r="U55" i="6"/>
  <c r="C56" i="6"/>
  <c r="I56" i="6"/>
  <c r="C57" i="6"/>
  <c r="L58" i="6"/>
  <c r="N58" i="6"/>
  <c r="O58" i="6"/>
  <c r="P58" i="6"/>
  <c r="L59" i="6"/>
  <c r="N59" i="6"/>
  <c r="O59" i="6"/>
  <c r="P59" i="6"/>
  <c r="E60" i="6"/>
  <c r="L60" i="6"/>
  <c r="N60" i="6"/>
  <c r="O60" i="6"/>
  <c r="P60" i="6"/>
  <c r="L61" i="6"/>
  <c r="N61" i="6"/>
  <c r="O61" i="6"/>
  <c r="P61" i="6"/>
  <c r="E62" i="6"/>
  <c r="L62" i="6"/>
  <c r="N62" i="6"/>
  <c r="O62" i="6"/>
  <c r="P62" i="6"/>
  <c r="L63" i="6"/>
  <c r="N63" i="6"/>
  <c r="O63" i="6"/>
  <c r="P63" i="6"/>
  <c r="L64" i="6"/>
  <c r="N64" i="6"/>
  <c r="O64" i="6"/>
  <c r="P64" i="6"/>
  <c r="L65" i="6"/>
  <c r="N65" i="6"/>
  <c r="O65" i="6"/>
  <c r="P65" i="6"/>
  <c r="B67" i="6"/>
  <c r="C67" i="6"/>
  <c r="C68" i="6" s="1"/>
  <c r="I67" i="6"/>
  <c r="L69" i="6"/>
  <c r="N69" i="6"/>
  <c r="O69" i="6"/>
  <c r="P69" i="6"/>
  <c r="L70" i="6"/>
  <c r="N70" i="6"/>
  <c r="O70" i="6"/>
  <c r="P70" i="6"/>
  <c r="L71" i="6"/>
  <c r="N71" i="6"/>
  <c r="O71" i="6"/>
  <c r="P71" i="6"/>
  <c r="L72" i="6"/>
  <c r="N72" i="6"/>
  <c r="O72" i="6"/>
  <c r="P72" i="6"/>
  <c r="E73" i="6"/>
  <c r="L73" i="6"/>
  <c r="N73" i="6"/>
  <c r="O73" i="6"/>
  <c r="P73" i="6"/>
  <c r="L74" i="6"/>
  <c r="N74" i="6"/>
  <c r="O74" i="6"/>
  <c r="P74" i="6"/>
  <c r="L75" i="6"/>
  <c r="N75" i="6"/>
  <c r="O75" i="6"/>
  <c r="P75" i="6"/>
  <c r="L76" i="6"/>
  <c r="N76" i="6"/>
  <c r="O76" i="6"/>
  <c r="P76" i="6"/>
  <c r="L77" i="6"/>
  <c r="N77" i="6"/>
  <c r="O77" i="6"/>
  <c r="P77" i="6"/>
  <c r="B79" i="6"/>
  <c r="C79" i="6"/>
  <c r="G79" i="6" s="1"/>
  <c r="I79" i="6"/>
  <c r="C80" i="6"/>
  <c r="G80" i="6" s="1"/>
  <c r="E81" i="6"/>
  <c r="L81" i="6"/>
  <c r="N81" i="6"/>
  <c r="O81" i="6"/>
  <c r="P81" i="6"/>
  <c r="L82" i="6"/>
  <c r="N82" i="6"/>
  <c r="O82" i="6"/>
  <c r="P82" i="6"/>
  <c r="L83" i="6"/>
  <c r="N83" i="6"/>
  <c r="O83" i="6"/>
  <c r="P83" i="6"/>
  <c r="L84" i="6"/>
  <c r="N84" i="6"/>
  <c r="N78" i="6" s="1"/>
  <c r="O84" i="6"/>
  <c r="P84" i="6"/>
  <c r="L85" i="6"/>
  <c r="N85" i="6"/>
  <c r="O85" i="6"/>
  <c r="P85" i="6"/>
  <c r="L86" i="6"/>
  <c r="N86" i="6"/>
  <c r="O86" i="6"/>
  <c r="P86" i="6"/>
  <c r="L87" i="6"/>
  <c r="N87" i="6"/>
  <c r="O87" i="6"/>
  <c r="P87" i="6"/>
  <c r="L88" i="6"/>
  <c r="N88" i="6"/>
  <c r="O88" i="6"/>
  <c r="P88" i="6"/>
  <c r="B90" i="6"/>
  <c r="C90" i="6"/>
  <c r="G90" i="6"/>
  <c r="J90" i="6" s="1"/>
  <c r="H90" i="6"/>
  <c r="I90" i="6"/>
  <c r="B91" i="6"/>
  <c r="C91" i="6"/>
  <c r="H91" i="6" s="1"/>
  <c r="G91" i="6"/>
  <c r="I91" i="6"/>
  <c r="L92" i="6"/>
  <c r="N92" i="6"/>
  <c r="O92" i="6"/>
  <c r="P92" i="6"/>
  <c r="L93" i="6"/>
  <c r="N93" i="6"/>
  <c r="O93" i="6"/>
  <c r="P93" i="6"/>
  <c r="L94" i="6"/>
  <c r="N94" i="6"/>
  <c r="O94" i="6"/>
  <c r="P94" i="6"/>
  <c r="E95" i="6"/>
  <c r="L95" i="6"/>
  <c r="N95" i="6"/>
  <c r="O95" i="6"/>
  <c r="P95" i="6"/>
  <c r="L96" i="6"/>
  <c r="N96" i="6"/>
  <c r="O96" i="6"/>
  <c r="P96" i="6"/>
  <c r="L97" i="6"/>
  <c r="N97" i="6"/>
  <c r="O97" i="6"/>
  <c r="P97" i="6"/>
  <c r="L98" i="6"/>
  <c r="N98" i="6"/>
  <c r="O98" i="6"/>
  <c r="P98" i="6"/>
  <c r="L99" i="6"/>
  <c r="N99" i="6"/>
  <c r="O99" i="6"/>
  <c r="P99" i="6"/>
  <c r="B101" i="6"/>
  <c r="C101" i="6"/>
  <c r="G101" i="6" s="1"/>
  <c r="I101" i="6"/>
  <c r="C102" i="6"/>
  <c r="G102" i="6" s="1"/>
  <c r="E103" i="6"/>
  <c r="L103" i="6"/>
  <c r="N103" i="6"/>
  <c r="O103" i="6"/>
  <c r="P103" i="6"/>
  <c r="L104" i="6"/>
  <c r="N104" i="6"/>
  <c r="O104" i="6"/>
  <c r="P104" i="6"/>
  <c r="L105" i="6"/>
  <c r="N105" i="6"/>
  <c r="O105" i="6"/>
  <c r="P105" i="6"/>
  <c r="L106" i="6"/>
  <c r="N106" i="6"/>
  <c r="O106" i="6"/>
  <c r="P106" i="6"/>
  <c r="L107" i="6"/>
  <c r="N107" i="6"/>
  <c r="O107" i="6"/>
  <c r="P107" i="6"/>
  <c r="L108" i="6"/>
  <c r="N108" i="6"/>
  <c r="O108" i="6"/>
  <c r="P108" i="6"/>
  <c r="L109" i="6"/>
  <c r="N109" i="6"/>
  <c r="O109" i="6"/>
  <c r="P109" i="6"/>
  <c r="L110" i="6"/>
  <c r="N110" i="6"/>
  <c r="O110" i="6"/>
  <c r="P110" i="6"/>
  <c r="C112" i="6"/>
  <c r="C113" i="6" s="1"/>
  <c r="H112" i="6"/>
  <c r="I112" i="6"/>
  <c r="B113" i="6"/>
  <c r="E114" i="6"/>
  <c r="L114" i="6"/>
  <c r="N114" i="6"/>
  <c r="O114" i="6"/>
  <c r="P114" i="6"/>
  <c r="L115" i="6"/>
  <c r="N115" i="6"/>
  <c r="O115" i="6"/>
  <c r="P115" i="6"/>
  <c r="L116" i="6"/>
  <c r="N116" i="6"/>
  <c r="O116" i="6"/>
  <c r="P116" i="6"/>
  <c r="L117" i="6"/>
  <c r="N117" i="6"/>
  <c r="O117" i="6"/>
  <c r="P117" i="6"/>
  <c r="E118" i="6"/>
  <c r="L118" i="6"/>
  <c r="N118" i="6"/>
  <c r="O118" i="6"/>
  <c r="P118" i="6"/>
  <c r="L119" i="6"/>
  <c r="N119" i="6"/>
  <c r="O119" i="6"/>
  <c r="P119" i="6"/>
  <c r="L120" i="6"/>
  <c r="N120" i="6"/>
  <c r="O120" i="6"/>
  <c r="P120" i="6"/>
  <c r="L121" i="6"/>
  <c r="N121" i="6"/>
  <c r="O121" i="6"/>
  <c r="P121" i="6"/>
  <c r="C123" i="6"/>
  <c r="G123" i="6" s="1"/>
  <c r="H123" i="6"/>
  <c r="L125" i="6"/>
  <c r="N125" i="6"/>
  <c r="O125" i="6"/>
  <c r="P125" i="6"/>
  <c r="L126" i="6"/>
  <c r="N126" i="6"/>
  <c r="O126" i="6"/>
  <c r="P126" i="6"/>
  <c r="E127" i="6"/>
  <c r="L127" i="6"/>
  <c r="N127" i="6"/>
  <c r="O127" i="6"/>
  <c r="P127" i="6"/>
  <c r="L128" i="6"/>
  <c r="N128" i="6"/>
  <c r="O128" i="6"/>
  <c r="P128" i="6"/>
  <c r="E129" i="6"/>
  <c r="L129" i="6"/>
  <c r="N129" i="6"/>
  <c r="O129" i="6"/>
  <c r="P129" i="6"/>
  <c r="L130" i="6"/>
  <c r="N130" i="6"/>
  <c r="O130" i="6"/>
  <c r="P130" i="6"/>
  <c r="L131" i="6"/>
  <c r="N131" i="6"/>
  <c r="O131" i="6"/>
  <c r="P131" i="6"/>
  <c r="L132" i="6"/>
  <c r="N132" i="6"/>
  <c r="O132" i="6"/>
  <c r="P132" i="6"/>
  <c r="B134" i="6"/>
  <c r="C134" i="6"/>
  <c r="C135" i="6" s="1"/>
  <c r="G134" i="6"/>
  <c r="I134" i="6"/>
  <c r="L136" i="6"/>
  <c r="N136" i="6"/>
  <c r="O136" i="6"/>
  <c r="P136" i="6"/>
  <c r="E137" i="6"/>
  <c r="L137" i="6"/>
  <c r="N137" i="6"/>
  <c r="O137" i="6"/>
  <c r="P137" i="6"/>
  <c r="E138" i="6"/>
  <c r="L138" i="6"/>
  <c r="N138" i="6"/>
  <c r="O138" i="6"/>
  <c r="P138" i="6"/>
  <c r="L139" i="6"/>
  <c r="N139" i="6"/>
  <c r="O139" i="6"/>
  <c r="P139" i="6"/>
  <c r="L140" i="6"/>
  <c r="N140" i="6"/>
  <c r="O140" i="6"/>
  <c r="P140" i="6"/>
  <c r="L141" i="6"/>
  <c r="N141" i="6"/>
  <c r="O141" i="6"/>
  <c r="P141" i="6"/>
  <c r="Q142" i="6"/>
  <c r="C143" i="6"/>
  <c r="C144" i="6" s="1"/>
  <c r="G144" i="6" s="1"/>
  <c r="E145" i="6"/>
  <c r="L145" i="6"/>
  <c r="N145" i="6"/>
  <c r="O145" i="6"/>
  <c r="P145" i="6"/>
  <c r="L146" i="6"/>
  <c r="N146" i="6"/>
  <c r="O146" i="6"/>
  <c r="P146" i="6"/>
  <c r="L147" i="6"/>
  <c r="N147" i="6"/>
  <c r="O147" i="6"/>
  <c r="P147" i="6"/>
  <c r="N148" i="6"/>
  <c r="O148" i="6"/>
  <c r="P148" i="6"/>
  <c r="L149" i="6"/>
  <c r="N149" i="6"/>
  <c r="O149" i="6"/>
  <c r="P149" i="6"/>
  <c r="C151" i="6"/>
  <c r="G151" i="6" s="1"/>
  <c r="E153" i="6"/>
  <c r="L153" i="6"/>
  <c r="N153" i="6"/>
  <c r="O153" i="6"/>
  <c r="P153" i="6"/>
  <c r="L154" i="6"/>
  <c r="N154" i="6"/>
  <c r="O154" i="6"/>
  <c r="O150" i="6" s="1"/>
  <c r="P154" i="6"/>
  <c r="L155" i="6"/>
  <c r="N155" i="6"/>
  <c r="O155" i="6"/>
  <c r="P155" i="6"/>
  <c r="L156" i="6"/>
  <c r="N156" i="6"/>
  <c r="O156" i="6"/>
  <c r="P156" i="6"/>
  <c r="L157" i="6"/>
  <c r="N157" i="6"/>
  <c r="O157" i="6"/>
  <c r="P157" i="6"/>
  <c r="E158" i="6"/>
  <c r="L158" i="6"/>
  <c r="N158" i="6"/>
  <c r="O158" i="6"/>
  <c r="P158" i="6"/>
  <c r="C160" i="6"/>
  <c r="I160" i="6" s="1"/>
  <c r="G160" i="6"/>
  <c r="H160" i="6"/>
  <c r="C161" i="6"/>
  <c r="G161" i="6" s="1"/>
  <c r="L162" i="6"/>
  <c r="N162" i="6"/>
  <c r="O162" i="6"/>
  <c r="P162" i="6"/>
  <c r="E163" i="6"/>
  <c r="L163" i="6"/>
  <c r="N163" i="6"/>
  <c r="O163" i="6"/>
  <c r="P163" i="6"/>
  <c r="E164" i="6"/>
  <c r="L164" i="6"/>
  <c r="N164" i="6"/>
  <c r="O164" i="6"/>
  <c r="P164" i="6"/>
  <c r="L165" i="6"/>
  <c r="N165" i="6"/>
  <c r="O165" i="6"/>
  <c r="P165" i="6"/>
  <c r="L166" i="6"/>
  <c r="N166" i="6"/>
  <c r="O166" i="6"/>
  <c r="P166" i="6"/>
  <c r="L167" i="6"/>
  <c r="N167" i="6"/>
  <c r="O167" i="6"/>
  <c r="P167" i="6"/>
  <c r="R167" i="6"/>
  <c r="B169" i="6"/>
  <c r="C169" i="6"/>
  <c r="G169" i="6" s="1"/>
  <c r="J169" i="6" s="1"/>
  <c r="H169" i="6"/>
  <c r="I169" i="6"/>
  <c r="C170" i="6"/>
  <c r="B170" i="6" s="1"/>
  <c r="G170" i="6"/>
  <c r="L171" i="6"/>
  <c r="N171" i="6"/>
  <c r="O171" i="6"/>
  <c r="P171" i="6"/>
  <c r="E172" i="6"/>
  <c r="L172" i="6"/>
  <c r="N172" i="6"/>
  <c r="O172" i="6"/>
  <c r="P172" i="6"/>
  <c r="E173" i="6"/>
  <c r="L173" i="6"/>
  <c r="N173" i="6"/>
  <c r="O173" i="6"/>
  <c r="P173" i="6"/>
  <c r="L174" i="6"/>
  <c r="N174" i="6"/>
  <c r="O174" i="6"/>
  <c r="P174" i="6"/>
  <c r="L175" i="6"/>
  <c r="N175" i="6"/>
  <c r="O175" i="6"/>
  <c r="P175" i="6"/>
  <c r="L176" i="6"/>
  <c r="N176" i="6"/>
  <c r="O176" i="6"/>
  <c r="P176" i="6"/>
  <c r="B178" i="6"/>
  <c r="C178" i="6"/>
  <c r="G178" i="6" s="1"/>
  <c r="J178" i="6" s="1"/>
  <c r="K178" i="6" s="1"/>
  <c r="H178" i="6"/>
  <c r="I178" i="6"/>
  <c r="C179" i="6"/>
  <c r="B179" i="6" s="1"/>
  <c r="E180" i="6"/>
  <c r="L180" i="6"/>
  <c r="N180" i="6"/>
  <c r="O180" i="6"/>
  <c r="P180" i="6"/>
  <c r="L181" i="6"/>
  <c r="N181" i="6"/>
  <c r="O181" i="6"/>
  <c r="P181" i="6"/>
  <c r="L182" i="6"/>
  <c r="N182" i="6"/>
  <c r="O182" i="6"/>
  <c r="P182" i="6"/>
  <c r="L183" i="6"/>
  <c r="N183" i="6"/>
  <c r="O183" i="6"/>
  <c r="P183" i="6"/>
  <c r="L184" i="6"/>
  <c r="N184" i="6"/>
  <c r="O184" i="6"/>
  <c r="P184" i="6"/>
  <c r="E185" i="6"/>
  <c r="L185" i="6"/>
  <c r="N185" i="6"/>
  <c r="O185" i="6"/>
  <c r="P185" i="6"/>
  <c r="C187" i="6"/>
  <c r="H187" i="6" s="1"/>
  <c r="G187" i="6"/>
  <c r="L189" i="6"/>
  <c r="N189" i="6"/>
  <c r="O189" i="6"/>
  <c r="P189" i="6"/>
  <c r="P186" i="6" s="1"/>
  <c r="L190" i="6"/>
  <c r="N190" i="6"/>
  <c r="N186" i="6" s="1"/>
  <c r="O190" i="6"/>
  <c r="P190" i="6"/>
  <c r="E191" i="6"/>
  <c r="L191" i="6"/>
  <c r="N191" i="6"/>
  <c r="O191" i="6"/>
  <c r="P191" i="6"/>
  <c r="E192" i="6"/>
  <c r="L192" i="6"/>
  <c r="N192" i="6"/>
  <c r="O192" i="6"/>
  <c r="P192" i="6"/>
  <c r="L193" i="6"/>
  <c r="N193" i="6"/>
  <c r="O193" i="6"/>
  <c r="P193" i="6"/>
  <c r="L194" i="6"/>
  <c r="N194" i="6"/>
  <c r="O194" i="6"/>
  <c r="P194" i="6"/>
  <c r="B196" i="6"/>
  <c r="C196" i="6"/>
  <c r="G196" i="6"/>
  <c r="H196" i="6"/>
  <c r="I196" i="6"/>
  <c r="C197" i="6"/>
  <c r="G197" i="6" s="1"/>
  <c r="H197" i="6"/>
  <c r="I197" i="6"/>
  <c r="L198" i="6"/>
  <c r="N198" i="6"/>
  <c r="O198" i="6"/>
  <c r="P198" i="6"/>
  <c r="L199" i="6"/>
  <c r="N199" i="6"/>
  <c r="N195" i="6" s="1"/>
  <c r="O199" i="6"/>
  <c r="P199" i="6"/>
  <c r="E200" i="6"/>
  <c r="L200" i="6"/>
  <c r="N200" i="6"/>
  <c r="O200" i="6"/>
  <c r="P200" i="6"/>
  <c r="E201" i="6"/>
  <c r="L201" i="6"/>
  <c r="N201" i="6"/>
  <c r="O201" i="6"/>
  <c r="P201" i="6"/>
  <c r="C203" i="6"/>
  <c r="G203" i="6" s="1"/>
  <c r="I203" i="6"/>
  <c r="C204" i="6"/>
  <c r="H204" i="6" s="1"/>
  <c r="L205" i="6"/>
  <c r="N205" i="6"/>
  <c r="O205" i="6"/>
  <c r="P205" i="6"/>
  <c r="E206" i="6"/>
  <c r="L206" i="6"/>
  <c r="L202" i="6" s="1"/>
  <c r="N206" i="6"/>
  <c r="O206" i="6"/>
  <c r="P206" i="6"/>
  <c r="L207" i="6"/>
  <c r="N207" i="6"/>
  <c r="O207" i="6"/>
  <c r="P207" i="6"/>
  <c r="L208" i="6"/>
  <c r="N208" i="6"/>
  <c r="O208" i="6"/>
  <c r="P208" i="6"/>
  <c r="L209" i="6"/>
  <c r="N209" i="6"/>
  <c r="O209" i="6"/>
  <c r="P209" i="6"/>
  <c r="L210" i="6"/>
  <c r="N210" i="6"/>
  <c r="O210" i="6"/>
  <c r="P210" i="6"/>
  <c r="C212" i="6"/>
  <c r="G212" i="6" s="1"/>
  <c r="L214" i="6"/>
  <c r="N214" i="6"/>
  <c r="O214" i="6"/>
  <c r="O211" i="6" s="1"/>
  <c r="P214" i="6"/>
  <c r="L215" i="6"/>
  <c r="N215" i="6"/>
  <c r="O215" i="6"/>
  <c r="P215" i="6"/>
  <c r="L216" i="6"/>
  <c r="N216" i="6"/>
  <c r="O216" i="6"/>
  <c r="P216" i="6"/>
  <c r="L217" i="6"/>
  <c r="N217" i="6"/>
  <c r="O217" i="6"/>
  <c r="P217" i="6"/>
  <c r="B219" i="6"/>
  <c r="C219" i="6"/>
  <c r="G219" i="6"/>
  <c r="H219" i="6"/>
  <c r="I219" i="6"/>
  <c r="B220" i="6"/>
  <c r="C220" i="6"/>
  <c r="G220" i="6" s="1"/>
  <c r="H220" i="6"/>
  <c r="I220" i="6"/>
  <c r="L221" i="6"/>
  <c r="N221" i="6"/>
  <c r="O221" i="6"/>
  <c r="P221" i="6"/>
  <c r="L222" i="6"/>
  <c r="N222" i="6"/>
  <c r="O222" i="6"/>
  <c r="P222" i="6"/>
  <c r="E223" i="6"/>
  <c r="L223" i="6"/>
  <c r="N223" i="6"/>
  <c r="O223" i="6"/>
  <c r="P223" i="6"/>
  <c r="E224" i="6"/>
  <c r="L224" i="6"/>
  <c r="N224" i="6"/>
  <c r="O224" i="6"/>
  <c r="P224" i="6"/>
  <c r="C226" i="6"/>
  <c r="G226" i="6" s="1"/>
  <c r="I226" i="6"/>
  <c r="E228" i="6"/>
  <c r="L228" i="6"/>
  <c r="N228" i="6"/>
  <c r="O228" i="6"/>
  <c r="P228" i="6"/>
  <c r="P225" i="6" s="1"/>
  <c r="E229" i="6"/>
  <c r="E226" i="6" s="1"/>
  <c r="L229" i="6"/>
  <c r="N229" i="6"/>
  <c r="O229" i="6"/>
  <c r="P229" i="6"/>
  <c r="C231" i="6"/>
  <c r="I231" i="6" s="1"/>
  <c r="L233" i="6"/>
  <c r="N233" i="6"/>
  <c r="O233" i="6"/>
  <c r="O230" i="6" s="1"/>
  <c r="P233" i="6"/>
  <c r="P230" i="6" s="1"/>
  <c r="L234" i="6"/>
  <c r="L230" i="6" s="1"/>
  <c r="N234" i="6"/>
  <c r="O234" i="6"/>
  <c r="P234" i="6"/>
  <c r="C236" i="6"/>
  <c r="I236" i="6" s="1"/>
  <c r="L238" i="6"/>
  <c r="N238" i="6"/>
  <c r="O238" i="6"/>
  <c r="P238" i="6"/>
  <c r="P235" i="6" s="1"/>
  <c r="E239" i="6"/>
  <c r="L239" i="6"/>
  <c r="L235" i="6" s="1"/>
  <c r="N239" i="6"/>
  <c r="O239" i="6"/>
  <c r="P239" i="6"/>
  <c r="C241" i="6"/>
  <c r="C242" i="6" s="1"/>
  <c r="G242" i="6" s="1"/>
  <c r="I241" i="6"/>
  <c r="E243" i="6"/>
  <c r="L243" i="6"/>
  <c r="N243" i="6"/>
  <c r="O243" i="6"/>
  <c r="O240" i="6" s="1"/>
  <c r="P243" i="6"/>
  <c r="P240" i="6" s="1"/>
  <c r="E244" i="6"/>
  <c r="E241" i="6" s="1"/>
  <c r="L244" i="6"/>
  <c r="N244" i="6"/>
  <c r="O244" i="6"/>
  <c r="P244" i="6"/>
  <c r="C246" i="6"/>
  <c r="I246" i="6" s="1"/>
  <c r="C247" i="6"/>
  <c r="G247" i="6" s="1"/>
  <c r="L248" i="6"/>
  <c r="N248" i="6"/>
  <c r="O248" i="6"/>
  <c r="O245" i="6" s="1"/>
  <c r="P248" i="6"/>
  <c r="P245" i="6" s="1"/>
  <c r="L249" i="6"/>
  <c r="L245" i="6" s="1"/>
  <c r="N249" i="6"/>
  <c r="O249" i="6"/>
  <c r="P249" i="6"/>
  <c r="O250" i="6"/>
  <c r="C251" i="6"/>
  <c r="I251" i="6" s="1"/>
  <c r="C252" i="6"/>
  <c r="G252" i="6"/>
  <c r="L253" i="6"/>
  <c r="N253" i="6"/>
  <c r="O253" i="6"/>
  <c r="P253" i="6"/>
  <c r="L254" i="6"/>
  <c r="L250" i="6" s="1"/>
  <c r="N254" i="6"/>
  <c r="O254" i="6"/>
  <c r="P254" i="6"/>
  <c r="L255" i="6"/>
  <c r="N255" i="6"/>
  <c r="O255" i="6"/>
  <c r="P255" i="6"/>
  <c r="P250" i="6" s="1"/>
  <c r="B257" i="6"/>
  <c r="C257" i="6"/>
  <c r="G257" i="6" s="1"/>
  <c r="H257" i="6"/>
  <c r="I257" i="6"/>
  <c r="C258" i="6"/>
  <c r="H258" i="6" s="1"/>
  <c r="L259" i="6"/>
  <c r="N259" i="6"/>
  <c r="N256" i="6" s="1"/>
  <c r="O259" i="6"/>
  <c r="O256" i="6" s="1"/>
  <c r="P259" i="6"/>
  <c r="L260" i="6"/>
  <c r="N260" i="6"/>
  <c r="O260" i="6"/>
  <c r="P260" i="6"/>
  <c r="L261" i="6"/>
  <c r="N261" i="6"/>
  <c r="O261" i="6"/>
  <c r="P261" i="6"/>
  <c r="B263" i="6"/>
  <c r="C263" i="6"/>
  <c r="G263" i="6"/>
  <c r="H263" i="6"/>
  <c r="I263" i="6"/>
  <c r="C264" i="6"/>
  <c r="B264" i="6" s="1"/>
  <c r="G264" i="6"/>
  <c r="H264" i="6"/>
  <c r="L265" i="6"/>
  <c r="L262" i="6" s="1"/>
  <c r="N265" i="6"/>
  <c r="N262" i="6" s="1"/>
  <c r="O265" i="6"/>
  <c r="O262" i="6" s="1"/>
  <c r="P265" i="6"/>
  <c r="P262" i="6" s="1"/>
  <c r="C267" i="6"/>
  <c r="G267" i="6" s="1"/>
  <c r="H267" i="6"/>
  <c r="I267" i="6"/>
  <c r="E269" i="6"/>
  <c r="E267" i="6" s="1"/>
  <c r="L269" i="6"/>
  <c r="N269" i="6"/>
  <c r="O269" i="6"/>
  <c r="O266" i="6" s="1"/>
  <c r="P269" i="6"/>
  <c r="P266" i="6" s="1"/>
  <c r="E270" i="6"/>
  <c r="L270" i="6"/>
  <c r="N270" i="6"/>
  <c r="N266" i="6" s="1"/>
  <c r="O270" i="6"/>
  <c r="P270" i="6"/>
  <c r="C272" i="6"/>
  <c r="G272" i="6" s="1"/>
  <c r="L274" i="6"/>
  <c r="L271" i="6" s="1"/>
  <c r="N274" i="6"/>
  <c r="N271" i="6" s="1"/>
  <c r="O274" i="6"/>
  <c r="P274" i="6"/>
  <c r="E275" i="6"/>
  <c r="L275" i="6"/>
  <c r="N275" i="6"/>
  <c r="O275" i="6"/>
  <c r="P275" i="6"/>
  <c r="E276" i="6"/>
  <c r="L276" i="6"/>
  <c r="N276" i="6"/>
  <c r="O276" i="6"/>
  <c r="O271" i="6" s="1"/>
  <c r="P276" i="6"/>
  <c r="C278" i="6"/>
  <c r="G278" i="6" s="1"/>
  <c r="E280" i="6"/>
  <c r="E278" i="6" s="1"/>
  <c r="L280" i="6"/>
  <c r="L277" i="6" s="1"/>
  <c r="N280" i="6"/>
  <c r="N277" i="6" s="1"/>
  <c r="O280" i="6"/>
  <c r="O277" i="6" s="1"/>
  <c r="P280" i="6"/>
  <c r="P277" i="6" s="1"/>
  <c r="N281" i="6"/>
  <c r="O281" i="6"/>
  <c r="B282" i="6"/>
  <c r="C282" i="6"/>
  <c r="G282" i="6" s="1"/>
  <c r="H282" i="6"/>
  <c r="I282" i="6"/>
  <c r="B283" i="6"/>
  <c r="C283" i="6"/>
  <c r="G283" i="6" s="1"/>
  <c r="I283" i="6"/>
  <c r="E284" i="6"/>
  <c r="E282" i="6" s="1"/>
  <c r="L284" i="6"/>
  <c r="L281" i="6" s="1"/>
  <c r="N284" i="6"/>
  <c r="O284" i="6"/>
  <c r="P284" i="6"/>
  <c r="P281" i="6" s="1"/>
  <c r="C286" i="6"/>
  <c r="I286" i="6" s="1"/>
  <c r="E286" i="6"/>
  <c r="C287" i="6"/>
  <c r="G287" i="6" s="1"/>
  <c r="E288" i="6"/>
  <c r="L288" i="6"/>
  <c r="L285" i="6" s="1"/>
  <c r="N288" i="6"/>
  <c r="N285" i="6" s="1"/>
  <c r="O288" i="6"/>
  <c r="O285" i="6" s="1"/>
  <c r="P288" i="6"/>
  <c r="P285" i="6" s="1"/>
  <c r="L289" i="6"/>
  <c r="P289" i="6"/>
  <c r="C290" i="6"/>
  <c r="B290" i="6" s="1"/>
  <c r="E292" i="6"/>
  <c r="E290" i="6" s="1"/>
  <c r="K292" i="6"/>
  <c r="L292" i="6"/>
  <c r="N292" i="6"/>
  <c r="N289" i="6" s="1"/>
  <c r="O292" i="6"/>
  <c r="O289" i="6" s="1"/>
  <c r="P292" i="6"/>
  <c r="C294" i="6"/>
  <c r="B294" i="6" s="1"/>
  <c r="G294" i="6"/>
  <c r="I294" i="6"/>
  <c r="L296" i="6"/>
  <c r="N296" i="6"/>
  <c r="O296" i="6"/>
  <c r="O293" i="6" s="1"/>
  <c r="P296" i="6"/>
  <c r="P293" i="6" s="1"/>
  <c r="L297" i="6"/>
  <c r="N297" i="6"/>
  <c r="O297" i="6"/>
  <c r="P297" i="6"/>
  <c r="L298" i="6"/>
  <c r="L293" i="6" s="1"/>
  <c r="N298" i="6"/>
  <c r="O298" i="6"/>
  <c r="P298" i="6"/>
  <c r="L299" i="6"/>
  <c r="N299" i="6"/>
  <c r="O299" i="6"/>
  <c r="P299" i="6"/>
  <c r="C300" i="6"/>
  <c r="D300" i="6"/>
  <c r="M300" i="6"/>
  <c r="Q300" i="6"/>
  <c r="G113" i="6" l="1"/>
  <c r="H113" i="6"/>
  <c r="I113" i="6"/>
  <c r="G68" i="6"/>
  <c r="B68" i="6"/>
  <c r="H68" i="6"/>
  <c r="I68" i="6"/>
  <c r="B135" i="6"/>
  <c r="G135" i="6"/>
  <c r="H135" i="6"/>
  <c r="I135" i="6"/>
  <c r="B278" i="6"/>
  <c r="B272" i="6"/>
  <c r="E176" i="6"/>
  <c r="L159" i="6"/>
  <c r="E86" i="6"/>
  <c r="E298" i="6"/>
  <c r="E274" i="6"/>
  <c r="E272" i="6" s="1"/>
  <c r="J267" i="6"/>
  <c r="K267" i="6" s="1"/>
  <c r="E265" i="6"/>
  <c r="E263" i="6" s="1"/>
  <c r="J263" i="6"/>
  <c r="E254" i="6"/>
  <c r="E249" i="6"/>
  <c r="N230" i="6"/>
  <c r="O225" i="6"/>
  <c r="E222" i="6"/>
  <c r="E219" i="6" s="1"/>
  <c r="J220" i="6"/>
  <c r="K220" i="6" s="1"/>
  <c r="E216" i="6"/>
  <c r="E209" i="6"/>
  <c r="E199" i="6"/>
  <c r="E190" i="6"/>
  <c r="B187" i="6"/>
  <c r="E183" i="6"/>
  <c r="I179" i="6"/>
  <c r="E171" i="6"/>
  <c r="E169" i="6" s="1"/>
  <c r="E167" i="6"/>
  <c r="E162" i="6"/>
  <c r="E148" i="6"/>
  <c r="E136" i="6"/>
  <c r="H134" i="6"/>
  <c r="J134" i="6" s="1"/>
  <c r="P122" i="6"/>
  <c r="L122" i="6"/>
  <c r="B123" i="6"/>
  <c r="E117" i="6"/>
  <c r="N111" i="6"/>
  <c r="G112" i="6"/>
  <c r="J112" i="6" s="1"/>
  <c r="E108" i="6"/>
  <c r="I102" i="6"/>
  <c r="E98" i="6"/>
  <c r="E93" i="6"/>
  <c r="I80" i="6"/>
  <c r="J80" i="6" s="1"/>
  <c r="K80" i="6" s="1"/>
  <c r="E76" i="6"/>
  <c r="E71" i="6"/>
  <c r="H67" i="6"/>
  <c r="E39" i="6"/>
  <c r="E34" i="6"/>
  <c r="E21" i="6"/>
  <c r="B14" i="6"/>
  <c r="N100" i="6"/>
  <c r="C279" i="6"/>
  <c r="L266" i="6"/>
  <c r="B267" i="6"/>
  <c r="I264" i="6"/>
  <c r="E259" i="6"/>
  <c r="N240" i="6"/>
  <c r="O235" i="6"/>
  <c r="P202" i="6"/>
  <c r="P195" i="6"/>
  <c r="B197" i="6"/>
  <c r="E193" i="6"/>
  <c r="C188" i="6"/>
  <c r="H179" i="6"/>
  <c r="E174" i="6"/>
  <c r="I170" i="6"/>
  <c r="J170" i="6" s="1"/>
  <c r="I161" i="6"/>
  <c r="J161" i="6" s="1"/>
  <c r="K161" i="6" s="1"/>
  <c r="B160" i="6"/>
  <c r="E154" i="6"/>
  <c r="C152" i="6"/>
  <c r="P142" i="6"/>
  <c r="L142" i="6"/>
  <c r="E139" i="6"/>
  <c r="N133" i="6"/>
  <c r="E130" i="6"/>
  <c r="N122" i="6"/>
  <c r="E125" i="6"/>
  <c r="E96" i="6"/>
  <c r="J91" i="6"/>
  <c r="K91" i="6" s="1"/>
  <c r="E74" i="6"/>
  <c r="G67" i="6"/>
  <c r="J67" i="6" s="1"/>
  <c r="E63" i="6"/>
  <c r="E58" i="6"/>
  <c r="L46" i="6"/>
  <c r="E24" i="6"/>
  <c r="E16" i="6"/>
  <c r="P211" i="6"/>
  <c r="B151" i="6"/>
  <c r="N55" i="6"/>
  <c r="N293" i="6"/>
  <c r="E296" i="6"/>
  <c r="C291" i="6"/>
  <c r="C273" i="6"/>
  <c r="E233" i="6"/>
  <c r="E214" i="6"/>
  <c r="E207" i="6"/>
  <c r="N202" i="6"/>
  <c r="E181" i="6"/>
  <c r="E178" i="6" s="1"/>
  <c r="G179" i="6"/>
  <c r="J179" i="6" s="1"/>
  <c r="H170" i="6"/>
  <c r="H161" i="6"/>
  <c r="N150" i="6"/>
  <c r="E146" i="6"/>
  <c r="E120" i="6"/>
  <c r="E115" i="6"/>
  <c r="B112" i="6"/>
  <c r="E104" i="6"/>
  <c r="B102" i="6"/>
  <c r="P89" i="6"/>
  <c r="L89" i="6"/>
  <c r="E87" i="6"/>
  <c r="E82" i="6"/>
  <c r="B80" i="6"/>
  <c r="L66" i="6"/>
  <c r="O66" i="6"/>
  <c r="E69" i="6"/>
  <c r="E49" i="6"/>
  <c r="O29" i="6"/>
  <c r="E42" i="6"/>
  <c r="E37" i="6"/>
  <c r="E32" i="6"/>
  <c r="E19" i="6"/>
  <c r="E109" i="6"/>
  <c r="E99" i="6"/>
  <c r="E94" i="6"/>
  <c r="E77" i="6"/>
  <c r="E72" i="6"/>
  <c r="L55" i="6"/>
  <c r="E40" i="6"/>
  <c r="E35" i="6"/>
  <c r="E22" i="6"/>
  <c r="C15" i="6"/>
  <c r="N66" i="6"/>
  <c r="I278" i="6"/>
  <c r="N250" i="6"/>
  <c r="E217" i="6"/>
  <c r="E212" i="6" s="1"/>
  <c r="E184" i="6"/>
  <c r="C124" i="6"/>
  <c r="G290" i="6"/>
  <c r="H278" i="6"/>
  <c r="J278" i="6" s="1"/>
  <c r="P271" i="6"/>
  <c r="I272" i="6"/>
  <c r="C268" i="6"/>
  <c r="E260" i="6"/>
  <c r="J257" i="6"/>
  <c r="K257" i="6" s="1"/>
  <c r="E238" i="6"/>
  <c r="E236" i="6" s="1"/>
  <c r="C232" i="6"/>
  <c r="G232" i="6" s="1"/>
  <c r="N218" i="6"/>
  <c r="L218" i="6"/>
  <c r="J219" i="6"/>
  <c r="C213" i="6"/>
  <c r="E205" i="6"/>
  <c r="E203" i="6" s="1"/>
  <c r="L195" i="6"/>
  <c r="E194" i="6"/>
  <c r="I187" i="6"/>
  <c r="J187" i="6" s="1"/>
  <c r="E175" i="6"/>
  <c r="P168" i="6"/>
  <c r="N159" i="6"/>
  <c r="B161" i="6"/>
  <c r="E155" i="6"/>
  <c r="H151" i="6"/>
  <c r="J151" i="6" s="1"/>
  <c r="K151" i="6" s="1"/>
  <c r="E149" i="6"/>
  <c r="E143" i="6" s="1"/>
  <c r="E131" i="6"/>
  <c r="O122" i="6"/>
  <c r="E126" i="6"/>
  <c r="P111" i="6"/>
  <c r="L111" i="6"/>
  <c r="H101" i="6"/>
  <c r="J101" i="6" s="1"/>
  <c r="E85" i="6"/>
  <c r="H79" i="6"/>
  <c r="J79" i="6" s="1"/>
  <c r="E64" i="6"/>
  <c r="E59" i="6"/>
  <c r="E52" i="6"/>
  <c r="E25" i="6"/>
  <c r="E17" i="6"/>
  <c r="N89" i="6"/>
  <c r="E261" i="6"/>
  <c r="E257" i="6" s="1"/>
  <c r="E299" i="6"/>
  <c r="E294" i="6" s="1"/>
  <c r="I290" i="6"/>
  <c r="J264" i="6"/>
  <c r="K264" i="6" s="1"/>
  <c r="E255" i="6"/>
  <c r="E210" i="6"/>
  <c r="E157" i="6"/>
  <c r="I151" i="6"/>
  <c r="E297" i="6"/>
  <c r="C295" i="6"/>
  <c r="J282" i="6"/>
  <c r="H272" i="6"/>
  <c r="J272" i="6" s="1"/>
  <c r="K272" i="6" s="1"/>
  <c r="E253" i="6"/>
  <c r="E251" i="6" s="1"/>
  <c r="E248" i="6"/>
  <c r="L240" i="6"/>
  <c r="C237" i="6"/>
  <c r="G237" i="6" s="1"/>
  <c r="E234" i="6"/>
  <c r="E231" i="6" s="1"/>
  <c r="L225" i="6"/>
  <c r="C227" i="6"/>
  <c r="E221" i="6"/>
  <c r="E215" i="6"/>
  <c r="I212" i="6"/>
  <c r="E208" i="6"/>
  <c r="G204" i="6"/>
  <c r="O195" i="6"/>
  <c r="E198" i="6"/>
  <c r="E196" i="6" s="1"/>
  <c r="E189" i="6"/>
  <c r="E182" i="6"/>
  <c r="L168" i="6"/>
  <c r="E166" i="6"/>
  <c r="E147" i="6"/>
  <c r="N142" i="6"/>
  <c r="P133" i="6"/>
  <c r="L133" i="6"/>
  <c r="O133" i="6"/>
  <c r="I123" i="6"/>
  <c r="J123" i="6" s="1"/>
  <c r="K123" i="6" s="1"/>
  <c r="E116" i="6"/>
  <c r="E105" i="6"/>
  <c r="E92" i="6"/>
  <c r="E83" i="6"/>
  <c r="E79" i="6" s="1"/>
  <c r="E70" i="6"/>
  <c r="E50" i="6"/>
  <c r="J48" i="6"/>
  <c r="K48" i="6" s="1"/>
  <c r="E43" i="6"/>
  <c r="E38" i="6"/>
  <c r="E33" i="6"/>
  <c r="I14" i="6"/>
  <c r="K282" i="6"/>
  <c r="J262" i="6"/>
  <c r="K263" i="6"/>
  <c r="P66" i="6"/>
  <c r="I287" i="6"/>
  <c r="B287" i="6"/>
  <c r="H286" i="6"/>
  <c r="B286" i="6"/>
  <c r="H283" i="6"/>
  <c r="J283" i="6" s="1"/>
  <c r="H273" i="6"/>
  <c r="H268" i="6"/>
  <c r="B258" i="6"/>
  <c r="H252" i="6"/>
  <c r="B252" i="6"/>
  <c r="I252" i="6"/>
  <c r="G251" i="6"/>
  <c r="B251" i="6"/>
  <c r="H251" i="6"/>
  <c r="N245" i="6"/>
  <c r="H242" i="6"/>
  <c r="B242" i="6"/>
  <c r="I242" i="6"/>
  <c r="G241" i="6"/>
  <c r="B241" i="6"/>
  <c r="H241" i="6"/>
  <c r="N235" i="6"/>
  <c r="H232" i="6"/>
  <c r="B232" i="6"/>
  <c r="I232" i="6"/>
  <c r="G231" i="6"/>
  <c r="J231" i="6" s="1"/>
  <c r="B231" i="6"/>
  <c r="H231" i="6"/>
  <c r="N225" i="6"/>
  <c r="O218" i="6"/>
  <c r="P218" i="6"/>
  <c r="L211" i="6"/>
  <c r="N211" i="6"/>
  <c r="L177" i="6"/>
  <c r="K169" i="6"/>
  <c r="L150" i="6"/>
  <c r="H57" i="6"/>
  <c r="B57" i="6"/>
  <c r="I57" i="6"/>
  <c r="G57" i="6"/>
  <c r="P29" i="6"/>
  <c r="K219" i="6"/>
  <c r="P150" i="6"/>
  <c r="C301" i="6"/>
  <c r="I295" i="6"/>
  <c r="H294" i="6"/>
  <c r="J294" i="6" s="1"/>
  <c r="I291" i="6"/>
  <c r="H290" i="6"/>
  <c r="J290" i="6" s="1"/>
  <c r="H287" i="6"/>
  <c r="G286" i="6"/>
  <c r="P256" i="6"/>
  <c r="L256" i="6"/>
  <c r="I258" i="6"/>
  <c r="J197" i="6"/>
  <c r="K197" i="6" s="1"/>
  <c r="J196" i="6"/>
  <c r="L186" i="6"/>
  <c r="P177" i="6"/>
  <c r="G47" i="6"/>
  <c r="B47" i="6"/>
  <c r="H47" i="6"/>
  <c r="I47" i="6"/>
  <c r="G30" i="6"/>
  <c r="J30" i="6" s="1"/>
  <c r="B30" i="6"/>
  <c r="H30" i="6"/>
  <c r="I30" i="6"/>
  <c r="C31" i="6"/>
  <c r="G258" i="6"/>
  <c r="H247" i="6"/>
  <c r="J247" i="6" s="1"/>
  <c r="K247" i="6" s="1"/>
  <c r="B247" i="6"/>
  <c r="I247" i="6"/>
  <c r="G246" i="6"/>
  <c r="B246" i="6"/>
  <c r="H246" i="6"/>
  <c r="H237" i="6"/>
  <c r="B237" i="6"/>
  <c r="I237" i="6"/>
  <c r="G236" i="6"/>
  <c r="B236" i="6"/>
  <c r="H236" i="6"/>
  <c r="O202" i="6"/>
  <c r="N177" i="6"/>
  <c r="E90" i="6"/>
  <c r="O89" i="6"/>
  <c r="O186" i="6"/>
  <c r="H144" i="6"/>
  <c r="J144" i="6" s="1"/>
  <c r="K144" i="6" s="1"/>
  <c r="B144" i="6"/>
  <c r="I144" i="6"/>
  <c r="G143" i="6"/>
  <c r="B143" i="6"/>
  <c r="H143" i="6"/>
  <c r="O111" i="6"/>
  <c r="O13" i="6"/>
  <c r="E27" i="6"/>
  <c r="E36" i="6"/>
  <c r="E30" i="6" s="1"/>
  <c r="E44" i="6"/>
  <c r="E54" i="6"/>
  <c r="E75" i="6"/>
  <c r="E84" i="6"/>
  <c r="E88" i="6"/>
  <c r="E97" i="6"/>
  <c r="E106" i="6"/>
  <c r="E110" i="6"/>
  <c r="E119" i="6"/>
  <c r="E128" i="6"/>
  <c r="E132" i="6"/>
  <c r="E141" i="6"/>
  <c r="E28" i="6"/>
  <c r="E41" i="6"/>
  <c r="E51" i="6"/>
  <c r="E107" i="6"/>
  <c r="E156" i="6"/>
  <c r="E165" i="6"/>
  <c r="E26" i="6"/>
  <c r="E61" i="6"/>
  <c r="E65" i="6"/>
  <c r="E140" i="6"/>
  <c r="E134" i="6" s="1"/>
  <c r="I227" i="6"/>
  <c r="B227" i="6"/>
  <c r="H226" i="6"/>
  <c r="J226" i="6" s="1"/>
  <c r="B226" i="6"/>
  <c r="I213" i="6"/>
  <c r="B213" i="6"/>
  <c r="H212" i="6"/>
  <c r="J212" i="6" s="1"/>
  <c r="B212" i="6"/>
  <c r="I204" i="6"/>
  <c r="J204" i="6" s="1"/>
  <c r="K204" i="6" s="1"/>
  <c r="B204" i="6"/>
  <c r="H203" i="6"/>
  <c r="J203" i="6" s="1"/>
  <c r="B203" i="6"/>
  <c r="O177" i="6"/>
  <c r="O159" i="6"/>
  <c r="P159" i="6"/>
  <c r="E160" i="6"/>
  <c r="J160" i="6"/>
  <c r="O142" i="6"/>
  <c r="J89" i="6"/>
  <c r="K90" i="6"/>
  <c r="K89" i="6" s="1"/>
  <c r="G56" i="6"/>
  <c r="B56" i="6"/>
  <c r="H56" i="6"/>
  <c r="L29" i="6"/>
  <c r="N29" i="6"/>
  <c r="J14" i="6"/>
  <c r="N168" i="6"/>
  <c r="O168" i="6"/>
  <c r="I143" i="6"/>
  <c r="K134" i="6"/>
  <c r="K112" i="6"/>
  <c r="O100" i="6"/>
  <c r="P100" i="6"/>
  <c r="L100" i="6"/>
  <c r="O78" i="6"/>
  <c r="P78" i="6"/>
  <c r="L78" i="6"/>
  <c r="O55" i="6"/>
  <c r="N46" i="6"/>
  <c r="P13" i="6"/>
  <c r="L13" i="6"/>
  <c r="H102" i="6"/>
  <c r="J102" i="6" s="1"/>
  <c r="K102" i="6" s="1"/>
  <c r="H80" i="6"/>
  <c r="H15" i="6"/>
  <c r="F189" i="1"/>
  <c r="D12" i="9" s="1"/>
  <c r="K278" i="6" l="1"/>
  <c r="K187" i="6"/>
  <c r="K179" i="6"/>
  <c r="K177" i="6" s="1"/>
  <c r="J177" i="6"/>
  <c r="R177" i="6" s="1"/>
  <c r="K170" i="6"/>
  <c r="K168" i="6" s="1"/>
  <c r="R168" i="6" s="1"/>
  <c r="J168" i="6"/>
  <c r="J242" i="6"/>
  <c r="K242" i="6" s="1"/>
  <c r="J68" i="6"/>
  <c r="K68" i="6" s="1"/>
  <c r="K218" i="6"/>
  <c r="R218" i="6" s="1"/>
  <c r="J232" i="6"/>
  <c r="K232" i="6" s="1"/>
  <c r="J268" i="6"/>
  <c r="K268" i="6" s="1"/>
  <c r="K266" i="6" s="1"/>
  <c r="H213" i="6"/>
  <c r="G213" i="6"/>
  <c r="G268" i="6"/>
  <c r="B268" i="6"/>
  <c r="I268" i="6"/>
  <c r="E47" i="6"/>
  <c r="E56" i="6"/>
  <c r="J287" i="6"/>
  <c r="K287" i="6" s="1"/>
  <c r="J218" i="6"/>
  <c r="K262" i="6"/>
  <c r="B188" i="6"/>
  <c r="G188" i="6"/>
  <c r="H188" i="6"/>
  <c r="I188" i="6"/>
  <c r="E246" i="6"/>
  <c r="J135" i="6"/>
  <c r="E101" i="6"/>
  <c r="E14" i="6"/>
  <c r="E300" i="6" s="1"/>
  <c r="K67" i="6"/>
  <c r="K66" i="6" s="1"/>
  <c r="G152" i="6"/>
  <c r="J152" i="6" s="1"/>
  <c r="K152" i="6" s="1"/>
  <c r="B152" i="6"/>
  <c r="H152" i="6"/>
  <c r="I152" i="6"/>
  <c r="E187" i="6"/>
  <c r="B295" i="6"/>
  <c r="H295" i="6"/>
  <c r="G295" i="6"/>
  <c r="J295" i="6" s="1"/>
  <c r="G124" i="6"/>
  <c r="B124" i="6"/>
  <c r="I124" i="6"/>
  <c r="N300" i="6"/>
  <c r="J213" i="6"/>
  <c r="K213" i="6" s="1"/>
  <c r="E123" i="6"/>
  <c r="H124" i="6"/>
  <c r="G273" i="6"/>
  <c r="J273" i="6" s="1"/>
  <c r="B273" i="6"/>
  <c r="I273" i="6"/>
  <c r="J237" i="6"/>
  <c r="K237" i="6" s="1"/>
  <c r="E67" i="6"/>
  <c r="E151" i="6"/>
  <c r="E112" i="6"/>
  <c r="J236" i="6"/>
  <c r="K236" i="6" s="1"/>
  <c r="K235" i="6" s="1"/>
  <c r="J241" i="6"/>
  <c r="K241" i="6" s="1"/>
  <c r="K240" i="6" s="1"/>
  <c r="J252" i="6"/>
  <c r="K252" i="6" s="1"/>
  <c r="H227" i="6"/>
  <c r="J227" i="6" s="1"/>
  <c r="G227" i="6"/>
  <c r="G15" i="6"/>
  <c r="J15" i="6" s="1"/>
  <c r="B15" i="6"/>
  <c r="I15" i="6"/>
  <c r="B291" i="6"/>
  <c r="H291" i="6"/>
  <c r="J291" i="6" s="1"/>
  <c r="G291" i="6"/>
  <c r="I279" i="6"/>
  <c r="B279" i="6"/>
  <c r="H279" i="6"/>
  <c r="G279" i="6"/>
  <c r="J113" i="6"/>
  <c r="K283" i="6"/>
  <c r="K281" i="6" s="1"/>
  <c r="J281" i="6"/>
  <c r="K203" i="6"/>
  <c r="K202" i="6" s="1"/>
  <c r="J202" i="6"/>
  <c r="R202" i="6" s="1"/>
  <c r="K101" i="6"/>
  <c r="K100" i="6" s="1"/>
  <c r="J100" i="6"/>
  <c r="O300" i="6"/>
  <c r="J235" i="6"/>
  <c r="H31" i="6"/>
  <c r="H302" i="6" s="1"/>
  <c r="B31" i="6"/>
  <c r="I31" i="6"/>
  <c r="G31" i="6"/>
  <c r="C302" i="6"/>
  <c r="K30" i="6"/>
  <c r="J47" i="6"/>
  <c r="J301" i="6" s="1"/>
  <c r="G301" i="6"/>
  <c r="K290" i="6"/>
  <c r="J57" i="6"/>
  <c r="K57" i="6" s="1"/>
  <c r="K231" i="6"/>
  <c r="K79" i="6"/>
  <c r="K78" i="6" s="1"/>
  <c r="J78" i="6"/>
  <c r="R78" i="6" s="1"/>
  <c r="L300" i="6"/>
  <c r="K212" i="6"/>
  <c r="K211" i="6" s="1"/>
  <c r="J211" i="6"/>
  <c r="K226" i="6"/>
  <c r="J143" i="6"/>
  <c r="K150" i="6"/>
  <c r="I301" i="6"/>
  <c r="J195" i="6"/>
  <c r="K196" i="6"/>
  <c r="K195" i="6" s="1"/>
  <c r="R262" i="6"/>
  <c r="B301" i="6"/>
  <c r="J240" i="6"/>
  <c r="K14" i="6"/>
  <c r="P300" i="6"/>
  <c r="J56" i="6"/>
  <c r="R89" i="6"/>
  <c r="J159" i="6"/>
  <c r="R159" i="6" s="1"/>
  <c r="K160" i="6"/>
  <c r="K159" i="6" s="1"/>
  <c r="J246" i="6"/>
  <c r="J258" i="6"/>
  <c r="H301" i="6"/>
  <c r="J286" i="6"/>
  <c r="K294" i="6"/>
  <c r="J251" i="6"/>
  <c r="K227" i="6" l="1"/>
  <c r="J225" i="6"/>
  <c r="K291" i="6"/>
  <c r="J289" i="6"/>
  <c r="K295" i="6"/>
  <c r="J293" i="6"/>
  <c r="K15" i="6"/>
  <c r="K13" i="6" s="1"/>
  <c r="J13" i="6"/>
  <c r="J271" i="6"/>
  <c r="K273" i="6"/>
  <c r="K271" i="6" s="1"/>
  <c r="R235" i="6"/>
  <c r="J188" i="6"/>
  <c r="J279" i="6"/>
  <c r="J124" i="6"/>
  <c r="K293" i="6"/>
  <c r="J230" i="6"/>
  <c r="R230" i="6" s="1"/>
  <c r="R100" i="6"/>
  <c r="R240" i="6"/>
  <c r="J266" i="6"/>
  <c r="K289" i="6"/>
  <c r="K230" i="6"/>
  <c r="J150" i="6"/>
  <c r="R150" i="6" s="1"/>
  <c r="I302" i="6"/>
  <c r="K135" i="6"/>
  <c r="K133" i="6" s="1"/>
  <c r="J133" i="6"/>
  <c r="R133" i="6" s="1"/>
  <c r="K113" i="6"/>
  <c r="K111" i="6" s="1"/>
  <c r="J111" i="6"/>
  <c r="R111" i="6" s="1"/>
  <c r="K225" i="6"/>
  <c r="R195" i="6"/>
  <c r="B302" i="6"/>
  <c r="J66" i="6"/>
  <c r="R66" i="6" s="1"/>
  <c r="K143" i="6"/>
  <c r="K142" i="6" s="1"/>
  <c r="J142" i="6"/>
  <c r="R142" i="6" s="1"/>
  <c r="K251" i="6"/>
  <c r="K250" i="6" s="1"/>
  <c r="J250" i="6"/>
  <c r="K246" i="6"/>
  <c r="K245" i="6" s="1"/>
  <c r="J245" i="6"/>
  <c r="R245" i="6" s="1"/>
  <c r="J285" i="6"/>
  <c r="K286" i="6"/>
  <c r="K285" i="6" s="1"/>
  <c r="K56" i="6"/>
  <c r="K55" i="6" s="1"/>
  <c r="J55" i="6"/>
  <c r="K47" i="6"/>
  <c r="K46" i="6" s="1"/>
  <c r="J46" i="6"/>
  <c r="R46" i="6" s="1"/>
  <c r="J31" i="6"/>
  <c r="G302" i="6"/>
  <c r="R266" i="6"/>
  <c r="R271" i="6"/>
  <c r="K258" i="6"/>
  <c r="K256" i="6" s="1"/>
  <c r="J256" i="6"/>
  <c r="R256" i="6" s="1"/>
  <c r="R211" i="6"/>
  <c r="R289" i="6"/>
  <c r="R281" i="6"/>
  <c r="I551" i="1"/>
  <c r="I533" i="1"/>
  <c r="I515" i="1"/>
  <c r="I497" i="1"/>
  <c r="I479" i="1"/>
  <c r="I460" i="1"/>
  <c r="I442" i="1"/>
  <c r="I424" i="1"/>
  <c r="I406" i="1"/>
  <c r="I388" i="1"/>
  <c r="I370" i="1"/>
  <c r="I351" i="1"/>
  <c r="I333" i="1"/>
  <c r="I315" i="1"/>
  <c r="I297" i="1"/>
  <c r="I279" i="1"/>
  <c r="I261" i="1"/>
  <c r="I243" i="1"/>
  <c r="I224" i="1"/>
  <c r="I183" i="1"/>
  <c r="I165" i="1"/>
  <c r="I146" i="1"/>
  <c r="I128" i="1"/>
  <c r="AU31" i="3"/>
  <c r="AV31" i="3" s="1"/>
  <c r="AU32" i="3"/>
  <c r="AV32" i="3" s="1"/>
  <c r="AU33" i="3"/>
  <c r="AV33" i="3" s="1"/>
  <c r="AL55" i="3"/>
  <c r="AH55" i="3"/>
  <c r="AD55" i="3"/>
  <c r="Z55" i="3"/>
  <c r="V55" i="3"/>
  <c r="R55" i="3"/>
  <c r="N55" i="3"/>
  <c r="J55" i="3"/>
  <c r="AL54" i="3"/>
  <c r="AH54" i="3"/>
  <c r="AD54" i="3"/>
  <c r="Z54" i="3"/>
  <c r="V54" i="3"/>
  <c r="R54" i="3"/>
  <c r="N54" i="3"/>
  <c r="J54" i="3"/>
  <c r="Z53" i="3"/>
  <c r="V53" i="3"/>
  <c r="R53" i="3"/>
  <c r="N53" i="3"/>
  <c r="J53" i="3"/>
  <c r="AL52" i="3"/>
  <c r="AH52" i="3"/>
  <c r="AD52" i="3"/>
  <c r="AL48" i="3"/>
  <c r="AH48" i="3"/>
  <c r="AD48" i="3"/>
  <c r="Z48" i="3"/>
  <c r="V48" i="3"/>
  <c r="R48" i="3"/>
  <c r="N48" i="3"/>
  <c r="J48" i="3"/>
  <c r="AL47" i="3"/>
  <c r="AH47" i="3"/>
  <c r="AD47" i="3"/>
  <c r="Z47" i="3"/>
  <c r="V47" i="3"/>
  <c r="R47" i="3"/>
  <c r="N47" i="3"/>
  <c r="J47" i="3"/>
  <c r="Z46" i="3"/>
  <c r="V46" i="3"/>
  <c r="R46" i="3"/>
  <c r="N46" i="3"/>
  <c r="J46" i="3"/>
  <c r="AL45" i="3"/>
  <c r="AH45" i="3"/>
  <c r="AD45" i="3"/>
  <c r="AL42" i="3"/>
  <c r="AH42" i="3"/>
  <c r="AD42" i="3"/>
  <c r="Z42" i="3"/>
  <c r="V42" i="3"/>
  <c r="R42" i="3"/>
  <c r="N42" i="3"/>
  <c r="J42" i="3"/>
  <c r="AL41" i="3"/>
  <c r="AH41" i="3"/>
  <c r="AD41" i="3"/>
  <c r="Z41" i="3"/>
  <c r="V41" i="3"/>
  <c r="R41" i="3"/>
  <c r="N41" i="3"/>
  <c r="J41" i="3"/>
  <c r="AL40" i="3"/>
  <c r="AH40" i="3"/>
  <c r="AD40" i="3"/>
  <c r="Z40" i="3"/>
  <c r="V40" i="3"/>
  <c r="R40" i="3"/>
  <c r="N40" i="3"/>
  <c r="J40" i="3"/>
  <c r="Z39" i="3"/>
  <c r="V39" i="3"/>
  <c r="R39" i="3"/>
  <c r="N39" i="3"/>
  <c r="J39" i="3"/>
  <c r="AL38" i="3"/>
  <c r="AH38" i="3"/>
  <c r="AD38" i="3"/>
  <c r="AL33" i="3"/>
  <c r="AH33" i="3"/>
  <c r="AD33" i="3"/>
  <c r="Z33" i="3"/>
  <c r="V33" i="3"/>
  <c r="R33" i="3"/>
  <c r="N33" i="3"/>
  <c r="J33" i="3"/>
  <c r="AL32" i="3"/>
  <c r="AH32" i="3"/>
  <c r="AD32" i="3"/>
  <c r="Z32" i="3"/>
  <c r="V32" i="3"/>
  <c r="R32" i="3"/>
  <c r="N32" i="3"/>
  <c r="J32" i="3"/>
  <c r="Z31" i="3"/>
  <c r="V31" i="3"/>
  <c r="R31" i="3"/>
  <c r="N31" i="3"/>
  <c r="J31" i="3"/>
  <c r="AL30" i="3"/>
  <c r="AH30" i="3"/>
  <c r="AD30" i="3"/>
  <c r="AL26" i="3"/>
  <c r="AH26" i="3"/>
  <c r="AD26" i="3"/>
  <c r="Z26" i="3"/>
  <c r="V26" i="3"/>
  <c r="R26" i="3"/>
  <c r="N26" i="3"/>
  <c r="J26" i="3"/>
  <c r="AL25" i="3"/>
  <c r="AH25" i="3"/>
  <c r="AD25" i="3"/>
  <c r="Z25" i="3"/>
  <c r="V25" i="3"/>
  <c r="R25" i="3"/>
  <c r="N25" i="3"/>
  <c r="J25" i="3"/>
  <c r="Z24" i="3"/>
  <c r="V24" i="3"/>
  <c r="R24" i="3"/>
  <c r="N24" i="3"/>
  <c r="J24" i="3"/>
  <c r="AL23" i="3"/>
  <c r="AH23" i="3"/>
  <c r="AD23" i="3"/>
  <c r="F535" i="1"/>
  <c r="D29" i="9" s="1"/>
  <c r="F517" i="1"/>
  <c r="D15" i="9" s="1"/>
  <c r="F499" i="1"/>
  <c r="D30" i="9" s="1"/>
  <c r="F481" i="1"/>
  <c r="F463" i="1"/>
  <c r="D13" i="9" s="1"/>
  <c r="F444" i="1"/>
  <c r="D21" i="9" s="1"/>
  <c r="F426" i="1"/>
  <c r="D24" i="9" s="1"/>
  <c r="F408" i="1"/>
  <c r="D17" i="9" s="1"/>
  <c r="F390" i="1"/>
  <c r="D31" i="9" s="1"/>
  <c r="F372" i="1"/>
  <c r="D18" i="9" s="1"/>
  <c r="F354" i="1"/>
  <c r="D14" i="9" s="1"/>
  <c r="F335" i="1"/>
  <c r="D22" i="9" s="1"/>
  <c r="F317" i="1"/>
  <c r="F299" i="1"/>
  <c r="D28" i="9" s="1"/>
  <c r="F281" i="1"/>
  <c r="D16" i="9" s="1"/>
  <c r="F263" i="1"/>
  <c r="D25" i="9" s="1"/>
  <c r="F245" i="1"/>
  <c r="D27" i="9" s="1"/>
  <c r="F227" i="1"/>
  <c r="F208" i="1"/>
  <c r="D26" i="9" s="1"/>
  <c r="F167" i="1"/>
  <c r="D23" i="9" s="1"/>
  <c r="F149" i="1"/>
  <c r="D10" i="9" s="1"/>
  <c r="F130" i="1"/>
  <c r="F112" i="1"/>
  <c r="F94" i="1"/>
  <c r="F76" i="1"/>
  <c r="D33" i="9" s="1"/>
  <c r="F58" i="1"/>
  <c r="D34" i="9" s="1"/>
  <c r="F40" i="1"/>
  <c r="D9" i="9" s="1"/>
  <c r="F23" i="1"/>
  <c r="D7" i="9" s="1"/>
  <c r="AU20" i="3"/>
  <c r="AV20" i="3" s="1"/>
  <c r="AL20" i="3"/>
  <c r="AH20" i="3"/>
  <c r="AD20" i="3"/>
  <c r="Z20" i="3"/>
  <c r="V20" i="3"/>
  <c r="R20" i="3"/>
  <c r="N20" i="3"/>
  <c r="J20" i="3"/>
  <c r="H535" i="1"/>
  <c r="G535" i="1"/>
  <c r="H517" i="1"/>
  <c r="G517" i="1"/>
  <c r="H499" i="1"/>
  <c r="G499" i="1"/>
  <c r="H481" i="1"/>
  <c r="G481" i="1"/>
  <c r="H463" i="1"/>
  <c r="G463" i="1"/>
  <c r="H444" i="1"/>
  <c r="G444" i="1"/>
  <c r="H426" i="1"/>
  <c r="G426" i="1"/>
  <c r="H408" i="1"/>
  <c r="G408" i="1"/>
  <c r="H390" i="1"/>
  <c r="G390" i="1"/>
  <c r="H372" i="1"/>
  <c r="G372" i="1"/>
  <c r="H354" i="1"/>
  <c r="G354" i="1"/>
  <c r="H335" i="1"/>
  <c r="G335" i="1"/>
  <c r="H317" i="1"/>
  <c r="G317" i="1"/>
  <c r="H299" i="1"/>
  <c r="G299" i="1"/>
  <c r="H281" i="1"/>
  <c r="G281" i="1"/>
  <c r="H263" i="1"/>
  <c r="G263" i="1"/>
  <c r="H245" i="1"/>
  <c r="G245" i="1"/>
  <c r="H227" i="1"/>
  <c r="G227" i="1"/>
  <c r="H208" i="1"/>
  <c r="G208" i="1"/>
  <c r="H189" i="1"/>
  <c r="G189" i="1"/>
  <c r="H167" i="1"/>
  <c r="G167" i="1"/>
  <c r="H149" i="1"/>
  <c r="G149" i="1"/>
  <c r="H130" i="1"/>
  <c r="G130" i="1"/>
  <c r="H112" i="1"/>
  <c r="G112" i="1"/>
  <c r="H94" i="1"/>
  <c r="G94" i="1"/>
  <c r="H76" i="1"/>
  <c r="G76" i="1"/>
  <c r="H58" i="1"/>
  <c r="G58" i="1"/>
  <c r="H40" i="1"/>
  <c r="G40" i="1"/>
  <c r="R13" i="6" l="1"/>
  <c r="R293" i="6"/>
  <c r="K279" i="6"/>
  <c r="K277" i="6" s="1"/>
  <c r="J277" i="6"/>
  <c r="R277" i="6" s="1"/>
  <c r="K124" i="6"/>
  <c r="K122" i="6" s="1"/>
  <c r="J122" i="6"/>
  <c r="R122" i="6" s="1"/>
  <c r="K188" i="6"/>
  <c r="K186" i="6" s="1"/>
  <c r="J186" i="6"/>
  <c r="R186" i="6" s="1"/>
  <c r="R225" i="6"/>
  <c r="D11" i="9"/>
  <c r="D42" i="9"/>
  <c r="D20" i="9"/>
  <c r="R285" i="6"/>
  <c r="K31" i="6"/>
  <c r="K29" i="6" s="1"/>
  <c r="K300" i="6" s="1"/>
  <c r="J29" i="6"/>
  <c r="J300" i="6" s="1"/>
  <c r="J302" i="6"/>
  <c r="R55" i="6"/>
  <c r="R250" i="6"/>
  <c r="AN53" i="3"/>
  <c r="AN55" i="3"/>
  <c r="AN40" i="3"/>
  <c r="AN45" i="3"/>
  <c r="AN38" i="3"/>
  <c r="AN54" i="3"/>
  <c r="AN46" i="3"/>
  <c r="AN48" i="3"/>
  <c r="AN52" i="3"/>
  <c r="AN47" i="3"/>
  <c r="AN42" i="3"/>
  <c r="AN39" i="3"/>
  <c r="AN41" i="3"/>
  <c r="AN20" i="3"/>
  <c r="H23" i="1"/>
  <c r="H9" i="1"/>
  <c r="G9" i="1"/>
  <c r="R29" i="6" l="1"/>
  <c r="R300" i="6" s="1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J118" i="3"/>
  <c r="N113" i="3"/>
  <c r="M113" i="3"/>
  <c r="L113" i="3"/>
  <c r="L114" i="3" s="1"/>
  <c r="K113" i="3"/>
  <c r="H108" i="3"/>
  <c r="I108" i="3" s="1"/>
  <c r="C109" i="3" s="1"/>
  <c r="D109" i="3" s="1"/>
  <c r="E109" i="3" s="1"/>
  <c r="F109" i="3" s="1"/>
  <c r="G109" i="3" s="1"/>
  <c r="H109" i="3" s="1"/>
  <c r="I109" i="3" s="1"/>
  <c r="C110" i="3" s="1"/>
  <c r="D110" i="3" s="1"/>
  <c r="E110" i="3" s="1"/>
  <c r="F110" i="3" s="1"/>
  <c r="G110" i="3" s="1"/>
  <c r="H110" i="3" s="1"/>
  <c r="I110" i="3" s="1"/>
  <c r="C111" i="3" s="1"/>
  <c r="D111" i="3" s="1"/>
  <c r="E111" i="3" s="1"/>
  <c r="F111" i="3" s="1"/>
  <c r="F104" i="3"/>
  <c r="G104" i="3" s="1"/>
  <c r="H104" i="3" s="1"/>
  <c r="I104" i="3" s="1"/>
  <c r="C105" i="3" s="1"/>
  <c r="D105" i="3" s="1"/>
  <c r="E105" i="3" s="1"/>
  <c r="F105" i="3" s="1"/>
  <c r="G105" i="3" s="1"/>
  <c r="H105" i="3" s="1"/>
  <c r="I105" i="3" s="1"/>
  <c r="C106" i="3" s="1"/>
  <c r="D106" i="3" s="1"/>
  <c r="E106" i="3" s="1"/>
  <c r="F106" i="3" s="1"/>
  <c r="G106" i="3" s="1"/>
  <c r="H106" i="3" s="1"/>
  <c r="I106" i="3" s="1"/>
  <c r="C107" i="3" s="1"/>
  <c r="D107" i="3" s="1"/>
  <c r="E107" i="3" s="1"/>
  <c r="F107" i="3" s="1"/>
  <c r="G107" i="3" s="1"/>
  <c r="H107" i="3" s="1"/>
  <c r="I107" i="3" s="1"/>
  <c r="C108" i="3" s="1"/>
  <c r="D108" i="3" s="1"/>
  <c r="E108" i="3" s="1"/>
  <c r="F108" i="3" s="1"/>
  <c r="C100" i="3"/>
  <c r="D100" i="3" s="1"/>
  <c r="E100" i="3" s="1"/>
  <c r="F100" i="3" s="1"/>
  <c r="G100" i="3" s="1"/>
  <c r="H100" i="3" s="1"/>
  <c r="I100" i="3" s="1"/>
  <c r="C101" i="3" s="1"/>
  <c r="D101" i="3" s="1"/>
  <c r="E101" i="3" s="1"/>
  <c r="F101" i="3" s="1"/>
  <c r="G101" i="3" s="1"/>
  <c r="H101" i="3" s="1"/>
  <c r="I101" i="3" s="1"/>
  <c r="C102" i="3" s="1"/>
  <c r="D102" i="3" s="1"/>
  <c r="E102" i="3" s="1"/>
  <c r="F102" i="3" s="1"/>
  <c r="G102" i="3" s="1"/>
  <c r="H102" i="3" s="1"/>
  <c r="I102" i="3" s="1"/>
  <c r="C103" i="3" s="1"/>
  <c r="D103" i="3" s="1"/>
  <c r="E103" i="3" s="1"/>
  <c r="F103" i="3" s="1"/>
  <c r="G103" i="3" s="1"/>
  <c r="H103" i="3" s="1"/>
  <c r="I103" i="3" s="1"/>
  <c r="C104" i="3" s="1"/>
  <c r="D104" i="3" s="1"/>
  <c r="H95" i="3"/>
  <c r="I95" i="3" s="1"/>
  <c r="C96" i="3" s="1"/>
  <c r="D96" i="3" s="1"/>
  <c r="E96" i="3" s="1"/>
  <c r="F96" i="3" s="1"/>
  <c r="G96" i="3" s="1"/>
  <c r="H96" i="3" s="1"/>
  <c r="I96" i="3" s="1"/>
  <c r="C97" i="3" s="1"/>
  <c r="D97" i="3" s="1"/>
  <c r="E97" i="3" s="1"/>
  <c r="F97" i="3" s="1"/>
  <c r="G97" i="3" s="1"/>
  <c r="H97" i="3" s="1"/>
  <c r="I97" i="3" s="1"/>
  <c r="C98" i="3" s="1"/>
  <c r="D98" i="3" s="1"/>
  <c r="E98" i="3" s="1"/>
  <c r="F98" i="3" s="1"/>
  <c r="G98" i="3" s="1"/>
  <c r="H98" i="3" s="1"/>
  <c r="I98" i="3" s="1"/>
  <c r="C99" i="3" s="1"/>
  <c r="D99" i="3" s="1"/>
  <c r="E99" i="3" s="1"/>
  <c r="F99" i="3" s="1"/>
  <c r="G99" i="3" s="1"/>
  <c r="H99" i="3" s="1"/>
  <c r="E91" i="3"/>
  <c r="F91" i="3" s="1"/>
  <c r="G91" i="3" s="1"/>
  <c r="H91" i="3" s="1"/>
  <c r="I91" i="3" s="1"/>
  <c r="C92" i="3" s="1"/>
  <c r="D92" i="3" s="1"/>
  <c r="E92" i="3" s="1"/>
  <c r="F92" i="3" s="1"/>
  <c r="G92" i="3" s="1"/>
  <c r="H92" i="3" s="1"/>
  <c r="I92" i="3" s="1"/>
  <c r="C93" i="3" s="1"/>
  <c r="D93" i="3" s="1"/>
  <c r="E93" i="3" s="1"/>
  <c r="F93" i="3" s="1"/>
  <c r="G93" i="3" s="1"/>
  <c r="H93" i="3" s="1"/>
  <c r="I93" i="3" s="1"/>
  <c r="C94" i="3" s="1"/>
  <c r="D94" i="3" s="1"/>
  <c r="E94" i="3" s="1"/>
  <c r="F94" i="3" s="1"/>
  <c r="G94" i="3" s="1"/>
  <c r="H94" i="3" s="1"/>
  <c r="I94" i="3" s="1"/>
  <c r="C95" i="3" s="1"/>
  <c r="D95" i="3" s="1"/>
  <c r="E95" i="3" s="1"/>
  <c r="F95" i="3" s="1"/>
  <c r="I86" i="3"/>
  <c r="C87" i="3" s="1"/>
  <c r="D87" i="3" s="1"/>
  <c r="E87" i="3" s="1"/>
  <c r="F87" i="3" s="1"/>
  <c r="G87" i="3" s="1"/>
  <c r="H87" i="3" s="1"/>
  <c r="I87" i="3" s="1"/>
  <c r="C88" i="3" s="1"/>
  <c r="D88" i="3" s="1"/>
  <c r="E88" i="3" s="1"/>
  <c r="F88" i="3" s="1"/>
  <c r="G88" i="3" s="1"/>
  <c r="H88" i="3" s="1"/>
  <c r="I88" i="3" s="1"/>
  <c r="C89" i="3" s="1"/>
  <c r="D89" i="3" s="1"/>
  <c r="E89" i="3" s="1"/>
  <c r="F89" i="3" s="1"/>
  <c r="G89" i="3" s="1"/>
  <c r="H89" i="3" s="1"/>
  <c r="I89" i="3" s="1"/>
  <c r="C90" i="3" s="1"/>
  <c r="D90" i="3" s="1"/>
  <c r="E90" i="3" s="1"/>
  <c r="F90" i="3" s="1"/>
  <c r="G90" i="3" s="1"/>
  <c r="H90" i="3" s="1"/>
  <c r="I90" i="3" s="1"/>
  <c r="C91" i="3" s="1"/>
  <c r="G82" i="3"/>
  <c r="H82" i="3" s="1"/>
  <c r="I82" i="3" s="1"/>
  <c r="C83" i="3" s="1"/>
  <c r="D83" i="3" s="1"/>
  <c r="E83" i="3" s="1"/>
  <c r="F83" i="3" s="1"/>
  <c r="G83" i="3" s="1"/>
  <c r="H83" i="3" s="1"/>
  <c r="I83" i="3" s="1"/>
  <c r="C84" i="3" s="1"/>
  <c r="D84" i="3" s="1"/>
  <c r="E84" i="3" s="1"/>
  <c r="F84" i="3" s="1"/>
  <c r="G84" i="3" s="1"/>
  <c r="H84" i="3" s="1"/>
  <c r="I84" i="3" s="1"/>
  <c r="C85" i="3" s="1"/>
  <c r="D85" i="3" s="1"/>
  <c r="E85" i="3" s="1"/>
  <c r="F85" i="3" s="1"/>
  <c r="G85" i="3" s="1"/>
  <c r="H85" i="3" s="1"/>
  <c r="I85" i="3" s="1"/>
  <c r="C86" i="3" s="1"/>
  <c r="D86" i="3" s="1"/>
  <c r="E86" i="3" s="1"/>
  <c r="F86" i="3" s="1"/>
  <c r="G86" i="3" s="1"/>
  <c r="D78" i="3"/>
  <c r="E78" i="3" s="1"/>
  <c r="F78" i="3" s="1"/>
  <c r="G78" i="3" s="1"/>
  <c r="H78" i="3" s="1"/>
  <c r="I78" i="3" s="1"/>
  <c r="C79" i="3" s="1"/>
  <c r="D79" i="3" s="1"/>
  <c r="E79" i="3" s="1"/>
  <c r="F79" i="3" s="1"/>
  <c r="G79" i="3" s="1"/>
  <c r="H79" i="3" s="1"/>
  <c r="I79" i="3" s="1"/>
  <c r="C80" i="3" s="1"/>
  <c r="D80" i="3" s="1"/>
  <c r="E80" i="3" s="1"/>
  <c r="F80" i="3" s="1"/>
  <c r="G80" i="3" s="1"/>
  <c r="H80" i="3" s="1"/>
  <c r="I80" i="3" s="1"/>
  <c r="C81" i="3" s="1"/>
  <c r="D81" i="3" s="1"/>
  <c r="E81" i="3" s="1"/>
  <c r="F81" i="3" s="1"/>
  <c r="G81" i="3" s="1"/>
  <c r="H81" i="3" s="1"/>
  <c r="I81" i="3" s="1"/>
  <c r="C82" i="3" s="1"/>
  <c r="D82" i="3" s="1"/>
  <c r="E82" i="3" s="1"/>
  <c r="I73" i="3"/>
  <c r="C74" i="3" s="1"/>
  <c r="D74" i="3" s="1"/>
  <c r="E74" i="3" s="1"/>
  <c r="F74" i="3" s="1"/>
  <c r="G74" i="3" s="1"/>
  <c r="H74" i="3" s="1"/>
  <c r="I74" i="3" s="1"/>
  <c r="C75" i="3" s="1"/>
  <c r="D75" i="3" s="1"/>
  <c r="E75" i="3" s="1"/>
  <c r="F75" i="3" s="1"/>
  <c r="G75" i="3" s="1"/>
  <c r="H75" i="3" s="1"/>
  <c r="I75" i="3" s="1"/>
  <c r="C76" i="3" s="1"/>
  <c r="D76" i="3" s="1"/>
  <c r="E76" i="3" s="1"/>
  <c r="F76" i="3" s="1"/>
  <c r="G76" i="3" s="1"/>
  <c r="H76" i="3" s="1"/>
  <c r="I76" i="3" s="1"/>
  <c r="C77" i="3" s="1"/>
  <c r="D77" i="3" s="1"/>
  <c r="E77" i="3" s="1"/>
  <c r="F77" i="3" s="1"/>
  <c r="G77" i="3" s="1"/>
  <c r="H77" i="3" s="1"/>
  <c r="I77" i="3" s="1"/>
  <c r="F69" i="3"/>
  <c r="G69" i="3" s="1"/>
  <c r="H69" i="3" s="1"/>
  <c r="I69" i="3" s="1"/>
  <c r="C70" i="3" s="1"/>
  <c r="D70" i="3" s="1"/>
  <c r="E70" i="3" s="1"/>
  <c r="F70" i="3" s="1"/>
  <c r="G70" i="3" s="1"/>
  <c r="H70" i="3" s="1"/>
  <c r="I70" i="3" s="1"/>
  <c r="C71" i="3" s="1"/>
  <c r="D71" i="3" s="1"/>
  <c r="E71" i="3" s="1"/>
  <c r="F71" i="3" s="1"/>
  <c r="G71" i="3" s="1"/>
  <c r="H71" i="3" s="1"/>
  <c r="I71" i="3" s="1"/>
  <c r="C72" i="3" s="1"/>
  <c r="D72" i="3" s="1"/>
  <c r="E72" i="3" s="1"/>
  <c r="F72" i="3" s="1"/>
  <c r="G72" i="3" s="1"/>
  <c r="H72" i="3" s="1"/>
  <c r="I72" i="3" s="1"/>
  <c r="C73" i="3" s="1"/>
  <c r="D73" i="3" s="1"/>
  <c r="E73" i="3" s="1"/>
  <c r="F73" i="3" s="1"/>
  <c r="G73" i="3" s="1"/>
  <c r="F65" i="3"/>
  <c r="G65" i="3" s="1"/>
  <c r="H65" i="3" s="1"/>
  <c r="I65" i="3" s="1"/>
  <c r="C66" i="3" s="1"/>
  <c r="D66" i="3" s="1"/>
  <c r="E66" i="3" s="1"/>
  <c r="F66" i="3" s="1"/>
  <c r="G66" i="3" s="1"/>
  <c r="H66" i="3" s="1"/>
  <c r="I66" i="3" s="1"/>
  <c r="C67" i="3" s="1"/>
  <c r="D67" i="3" s="1"/>
  <c r="E67" i="3" s="1"/>
  <c r="F67" i="3" s="1"/>
  <c r="G67" i="3" s="1"/>
  <c r="H67" i="3" s="1"/>
  <c r="I67" i="3" s="1"/>
  <c r="C68" i="3" s="1"/>
  <c r="D68" i="3" s="1"/>
  <c r="E68" i="3" s="1"/>
  <c r="F68" i="3" s="1"/>
  <c r="G68" i="3" s="1"/>
  <c r="H68" i="3" s="1"/>
  <c r="I68" i="3" s="1"/>
  <c r="C69" i="3" s="1"/>
  <c r="D69" i="3" s="1"/>
  <c r="C61" i="3"/>
  <c r="D61" i="3" s="1"/>
  <c r="AU55" i="3"/>
  <c r="AV55" i="3" s="1"/>
  <c r="AU54" i="3"/>
  <c r="AV54" i="3" s="1"/>
  <c r="AU53" i="3"/>
  <c r="AV53" i="3" s="1"/>
  <c r="AU52" i="3"/>
  <c r="AV52" i="3" s="1"/>
  <c r="AU48" i="3"/>
  <c r="AV48" i="3" s="1"/>
  <c r="AU47" i="3"/>
  <c r="AV47" i="3" s="1"/>
  <c r="AU46" i="3"/>
  <c r="AV46" i="3" s="1"/>
  <c r="AU45" i="3"/>
  <c r="AV45" i="3" s="1"/>
  <c r="AU42" i="3"/>
  <c r="AV42" i="3" s="1"/>
  <c r="AU41" i="3"/>
  <c r="AV41" i="3" s="1"/>
  <c r="AU40" i="3"/>
  <c r="AV40" i="3" s="1"/>
  <c r="AU39" i="3"/>
  <c r="AV39" i="3" s="1"/>
  <c r="AU38" i="3"/>
  <c r="AV38" i="3" s="1"/>
  <c r="AN32" i="3"/>
  <c r="AU30" i="3"/>
  <c r="AV30" i="3" s="1"/>
  <c r="AU26" i="3"/>
  <c r="AV26" i="3" s="1"/>
  <c r="AN26" i="3"/>
  <c r="AU25" i="3"/>
  <c r="AV25" i="3" s="1"/>
  <c r="AU24" i="3"/>
  <c r="AV24" i="3" s="1"/>
  <c r="AU23" i="3"/>
  <c r="AV23" i="3" s="1"/>
  <c r="AU19" i="3"/>
  <c r="AV19" i="3" s="1"/>
  <c r="AL19" i="3"/>
  <c r="AH19" i="3"/>
  <c r="AD19" i="3"/>
  <c r="Z19" i="3"/>
  <c r="V19" i="3"/>
  <c r="R19" i="3"/>
  <c r="N19" i="3"/>
  <c r="J19" i="3"/>
  <c r="AU18" i="3"/>
  <c r="AV18" i="3" s="1"/>
  <c r="AL18" i="3"/>
  <c r="AH18" i="3"/>
  <c r="AD18" i="3"/>
  <c r="Z18" i="3"/>
  <c r="V18" i="3"/>
  <c r="R18" i="3"/>
  <c r="N18" i="3"/>
  <c r="J18" i="3"/>
  <c r="AU17" i="3"/>
  <c r="AV17" i="3" s="1"/>
  <c r="Z17" i="3"/>
  <c r="V17" i="3"/>
  <c r="R17" i="3"/>
  <c r="N17" i="3"/>
  <c r="J17" i="3"/>
  <c r="AU16" i="3"/>
  <c r="AV16" i="3" s="1"/>
  <c r="AL16" i="3"/>
  <c r="AH16" i="3"/>
  <c r="AD16" i="3"/>
  <c r="AH13" i="3"/>
  <c r="AZ7" i="3"/>
  <c r="AZ2" i="3"/>
  <c r="AN18" i="3" l="1"/>
  <c r="AN24" i="3"/>
  <c r="AN19" i="3"/>
  <c r="AN30" i="3"/>
  <c r="AN17" i="3"/>
  <c r="AN16" i="3"/>
  <c r="G111" i="3"/>
  <c r="H111" i="3" s="1"/>
  <c r="I111" i="3" s="1"/>
  <c r="C112" i="3" s="1"/>
  <c r="D112" i="3" s="1"/>
  <c r="E112" i="3" s="1"/>
  <c r="F112" i="3" s="1"/>
  <c r="G112" i="3" s="1"/>
  <c r="H112" i="3" s="1"/>
  <c r="I112" i="3" s="1"/>
  <c r="F117" i="3"/>
  <c r="J117" i="3" s="1"/>
  <c r="AQ19" i="3" s="1"/>
  <c r="AY19" i="3" s="1"/>
  <c r="AN23" i="3"/>
  <c r="AN25" i="3"/>
  <c r="AN31" i="3"/>
  <c r="AN33" i="3"/>
  <c r="E61" i="3"/>
  <c r="AQ30" i="3" l="1"/>
  <c r="AY30" i="3" s="1"/>
  <c r="AQ20" i="3"/>
  <c r="AY20" i="3" s="1"/>
  <c r="AQ41" i="3"/>
  <c r="AY41" i="3" s="1"/>
  <c r="AQ42" i="3"/>
  <c r="AY42" i="3" s="1"/>
  <c r="AQ39" i="3"/>
  <c r="AY39" i="3" s="1"/>
  <c r="AQ26" i="3"/>
  <c r="AY26" i="3" s="1"/>
  <c r="AQ54" i="3"/>
  <c r="AY54" i="3" s="1"/>
  <c r="AQ17" i="3"/>
  <c r="AY17" i="3" s="1"/>
  <c r="AQ33" i="3"/>
  <c r="AY33" i="3" s="1"/>
  <c r="AQ38" i="3"/>
  <c r="AY38" i="3" s="1"/>
  <c r="AQ52" i="3"/>
  <c r="AY52" i="3" s="1"/>
  <c r="AQ24" i="3"/>
  <c r="AY24" i="3" s="1"/>
  <c r="AQ53" i="3"/>
  <c r="AY53" i="3" s="1"/>
  <c r="AQ48" i="3"/>
  <c r="AY48" i="3" s="1"/>
  <c r="AQ46" i="3"/>
  <c r="AY46" i="3" s="1"/>
  <c r="AQ18" i="3"/>
  <c r="AY18" i="3" s="1"/>
  <c r="AQ31" i="3"/>
  <c r="AY31" i="3" s="1"/>
  <c r="AQ23" i="3"/>
  <c r="AY23" i="3" s="1"/>
  <c r="AQ25" i="3"/>
  <c r="AY25" i="3" s="1"/>
  <c r="F61" i="3"/>
  <c r="AQ32" i="3"/>
  <c r="AY32" i="3" s="1"/>
  <c r="AQ55" i="3"/>
  <c r="AY55" i="3" s="1"/>
  <c r="AQ45" i="3"/>
  <c r="AY45" i="3" s="1"/>
  <c r="AQ47" i="3"/>
  <c r="AY47" i="3" s="1"/>
  <c r="AQ40" i="3"/>
  <c r="AY40" i="3" s="1"/>
  <c r="AQ16" i="3"/>
  <c r="AY16" i="3" s="1"/>
  <c r="G61" i="3" l="1"/>
  <c r="H61" i="3" l="1"/>
  <c r="I61" i="3" l="1"/>
  <c r="C62" i="3" l="1"/>
  <c r="D62" i="3" l="1"/>
  <c r="E62" i="3" l="1"/>
  <c r="F62" i="3" l="1"/>
  <c r="G62" i="3" l="1"/>
  <c r="H62" i="3" l="1"/>
  <c r="I62" i="3" l="1"/>
  <c r="C63" i="3" l="1"/>
  <c r="D63" i="3" l="1"/>
  <c r="E63" i="3" l="1"/>
  <c r="F63" i="3" l="1"/>
  <c r="G63" i="3" l="1"/>
  <c r="H63" i="3" l="1"/>
  <c r="I63" i="3" l="1"/>
  <c r="C64" i="3" l="1"/>
  <c r="D64" i="3" l="1"/>
  <c r="E64" i="3" l="1"/>
  <c r="F64" i="3" l="1"/>
  <c r="E113" i="3"/>
  <c r="E114" i="3" s="1"/>
  <c r="G64" i="3" l="1"/>
  <c r="F113" i="3"/>
  <c r="F114" i="3" s="1"/>
  <c r="H64" i="3" l="1"/>
  <c r="G113" i="3"/>
  <c r="G114" i="3" s="1"/>
  <c r="I64" i="3" l="1"/>
  <c r="H113" i="3"/>
  <c r="H115" i="3" l="1"/>
  <c r="J115" i="3" s="1"/>
  <c r="C65" i="3"/>
  <c r="I113" i="3"/>
  <c r="I116" i="3" l="1"/>
  <c r="J116" i="3" s="1"/>
  <c r="D65" i="3"/>
  <c r="D113" i="3" s="1"/>
  <c r="D114" i="3" s="1"/>
  <c r="C113" i="3"/>
  <c r="H114" i="3"/>
  <c r="I114" i="3" l="1"/>
  <c r="J113" i="3"/>
  <c r="C114" i="3"/>
  <c r="AO20" i="3" l="1"/>
  <c r="AP20" i="3"/>
  <c r="AX20" i="3" s="1"/>
  <c r="J114" i="3"/>
  <c r="AO30" i="3"/>
  <c r="AO18" i="3"/>
  <c r="AP17" i="3"/>
  <c r="AX17" i="3" s="1"/>
  <c r="AO48" i="3"/>
  <c r="AO26" i="3"/>
  <c r="AP39" i="3"/>
  <c r="AX39" i="3" s="1"/>
  <c r="AO46" i="3"/>
  <c r="AO54" i="3"/>
  <c r="AO16" i="3"/>
  <c r="AO39" i="3"/>
  <c r="AO52" i="3"/>
  <c r="AP46" i="3"/>
  <c r="AX46" i="3" s="1"/>
  <c r="AP54" i="3"/>
  <c r="AX54" i="3" s="1"/>
  <c r="AP19" i="3"/>
  <c r="AX19" i="3" s="1"/>
  <c r="AO32" i="3"/>
  <c r="AO19" i="3"/>
  <c r="AP30" i="3"/>
  <c r="AX30" i="3" s="1"/>
  <c r="AO55" i="3"/>
  <c r="AP47" i="3"/>
  <c r="AX47" i="3" s="1"/>
  <c r="AP53" i="3"/>
  <c r="AX53" i="3" s="1"/>
  <c r="AP18" i="3"/>
  <c r="AX18" i="3" s="1"/>
  <c r="AP48" i="3"/>
  <c r="AX48" i="3" s="1"/>
  <c r="AO24" i="3"/>
  <c r="AP55" i="3"/>
  <c r="AX55" i="3" s="1"/>
  <c r="AP16" i="3"/>
  <c r="AX16" i="3" s="1"/>
  <c r="AP26" i="3"/>
  <c r="AX26" i="3" s="1"/>
  <c r="AO17" i="3"/>
  <c r="AO47" i="3"/>
  <c r="AP24" i="3"/>
  <c r="AX24" i="3" s="1"/>
  <c r="AP32" i="3"/>
  <c r="AX32" i="3" s="1"/>
  <c r="AP52" i="3"/>
  <c r="AX52" i="3" s="1"/>
  <c r="AO45" i="3"/>
  <c r="AO53" i="3"/>
  <c r="AP45" i="3"/>
  <c r="AX45" i="3" s="1"/>
  <c r="AP42" i="3"/>
  <c r="AX42" i="3" s="1"/>
  <c r="AO25" i="3"/>
  <c r="AP41" i="3"/>
  <c r="AX41" i="3" s="1"/>
  <c r="AP33" i="3"/>
  <c r="AX33" i="3" s="1"/>
  <c r="AP31" i="3"/>
  <c r="AX31" i="3" s="1"/>
  <c r="AP38" i="3"/>
  <c r="AX38" i="3" s="1"/>
  <c r="AO33" i="3"/>
  <c r="AO31" i="3"/>
  <c r="AO41" i="3"/>
  <c r="AO40" i="3"/>
  <c r="AO38" i="3"/>
  <c r="AP23" i="3"/>
  <c r="AX23" i="3" s="1"/>
  <c r="AP40" i="3"/>
  <c r="AX40" i="3" s="1"/>
  <c r="AO42" i="3"/>
  <c r="AP25" i="3"/>
  <c r="AX25" i="3" s="1"/>
  <c r="AO23" i="3"/>
  <c r="AR20" i="3" l="1"/>
  <c r="AS20" i="3" s="1"/>
  <c r="AT20" i="3" s="1"/>
  <c r="AZ20" i="3"/>
  <c r="AW20" i="3"/>
  <c r="BA20" i="3" s="1"/>
  <c r="M68" i="1" s="1"/>
  <c r="AR24" i="3"/>
  <c r="AS24" i="3" s="1"/>
  <c r="AT24" i="3" s="1"/>
  <c r="AW24" i="3"/>
  <c r="AZ24" i="3"/>
  <c r="AR52" i="3"/>
  <c r="AS52" i="3" s="1"/>
  <c r="AT52" i="3" s="1"/>
  <c r="AZ52" i="3"/>
  <c r="AW52" i="3"/>
  <c r="AR42" i="3"/>
  <c r="AS42" i="3" s="1"/>
  <c r="AT42" i="3" s="1"/>
  <c r="AW42" i="3"/>
  <c r="BA42" i="3" s="1"/>
  <c r="AR33" i="3"/>
  <c r="AS33" i="3" s="1"/>
  <c r="AT33" i="3" s="1"/>
  <c r="AZ33" i="3"/>
  <c r="AW33" i="3"/>
  <c r="AR17" i="3"/>
  <c r="AS17" i="3" s="1"/>
  <c r="AT17" i="3" s="1"/>
  <c r="AZ17" i="3"/>
  <c r="AW17" i="3"/>
  <c r="AR26" i="3"/>
  <c r="AS26" i="3" s="1"/>
  <c r="AT26" i="3" s="1"/>
  <c r="AW26" i="3"/>
  <c r="AZ26" i="3"/>
  <c r="AR18" i="3"/>
  <c r="AS18" i="3" s="1"/>
  <c r="AT18" i="3" s="1"/>
  <c r="AW18" i="3"/>
  <c r="AZ18" i="3"/>
  <c r="AR41" i="3"/>
  <c r="AS41" i="3" s="1"/>
  <c r="AT41" i="3" s="1"/>
  <c r="AW41" i="3"/>
  <c r="AZ41" i="3"/>
  <c r="AR19" i="3"/>
  <c r="AS19" i="3" s="1"/>
  <c r="AT19" i="3" s="1"/>
  <c r="AZ19" i="3"/>
  <c r="AW19" i="3"/>
  <c r="AR39" i="3"/>
  <c r="AS39" i="3" s="1"/>
  <c r="AT39" i="3" s="1"/>
  <c r="AW39" i="3"/>
  <c r="AZ39" i="3"/>
  <c r="AZ48" i="3"/>
  <c r="AR48" i="3"/>
  <c r="AS48" i="3" s="1"/>
  <c r="AT48" i="3" s="1"/>
  <c r="AW48" i="3"/>
  <c r="AR30" i="3"/>
  <c r="AS30" i="3" s="1"/>
  <c r="AT30" i="3" s="1"/>
  <c r="AW30" i="3"/>
  <c r="AZ30" i="3"/>
  <c r="AR38" i="3"/>
  <c r="AS38" i="3" s="1"/>
  <c r="AT38" i="3" s="1"/>
  <c r="AW38" i="3"/>
  <c r="BA38" i="3" s="1"/>
  <c r="AZ38" i="3"/>
  <c r="AR45" i="3"/>
  <c r="AS45" i="3" s="1"/>
  <c r="AT45" i="3" s="1"/>
  <c r="AW45" i="3"/>
  <c r="AZ45" i="3"/>
  <c r="AR47" i="3"/>
  <c r="AS47" i="3" s="1"/>
  <c r="AT47" i="3" s="1"/>
  <c r="AW47" i="3"/>
  <c r="AZ47" i="3"/>
  <c r="AR54" i="3"/>
  <c r="AS54" i="3" s="1"/>
  <c r="AT54" i="3" s="1"/>
  <c r="AZ54" i="3"/>
  <c r="AW54" i="3"/>
  <c r="BA54" i="3" s="1"/>
  <c r="AR40" i="3"/>
  <c r="AS40" i="3" s="1"/>
  <c r="AT40" i="3" s="1"/>
  <c r="AW40" i="3"/>
  <c r="AZ40" i="3"/>
  <c r="AR55" i="3"/>
  <c r="AS55" i="3" s="1"/>
  <c r="AT55" i="3" s="1"/>
  <c r="AW55" i="3"/>
  <c r="AZ55" i="3"/>
  <c r="AR23" i="3"/>
  <c r="AS23" i="3" s="1"/>
  <c r="AT23" i="3" s="1"/>
  <c r="AW23" i="3"/>
  <c r="AZ23" i="3"/>
  <c r="AR31" i="3"/>
  <c r="AS31" i="3" s="1"/>
  <c r="AT31" i="3" s="1"/>
  <c r="AZ31" i="3"/>
  <c r="AW31" i="3"/>
  <c r="AR25" i="3"/>
  <c r="AS25" i="3" s="1"/>
  <c r="AT25" i="3" s="1"/>
  <c r="AZ25" i="3"/>
  <c r="AW25" i="3"/>
  <c r="AR53" i="3"/>
  <c r="AS53" i="3" s="1"/>
  <c r="AT53" i="3" s="1"/>
  <c r="AW53" i="3"/>
  <c r="AZ53" i="3"/>
  <c r="AR32" i="3"/>
  <c r="AS32" i="3" s="1"/>
  <c r="AT32" i="3" s="1"/>
  <c r="AW32" i="3"/>
  <c r="AZ32" i="3"/>
  <c r="AR16" i="3"/>
  <c r="AS16" i="3" s="1"/>
  <c r="AT16" i="3" s="1"/>
  <c r="AW16" i="3"/>
  <c r="AZ16" i="3"/>
  <c r="AR46" i="3"/>
  <c r="AS46" i="3" s="1"/>
  <c r="AT46" i="3" s="1"/>
  <c r="AZ46" i="3"/>
  <c r="AW46" i="3"/>
  <c r="M122" i="1" l="1"/>
  <c r="M255" i="1"/>
  <c r="M436" i="1"/>
  <c r="M454" i="1"/>
  <c r="M273" i="1"/>
  <c r="M177" i="1"/>
  <c r="M491" i="1"/>
  <c r="M218" i="1"/>
  <c r="M382" i="1"/>
  <c r="M345" i="1"/>
  <c r="M200" i="1"/>
  <c r="BA47" i="3"/>
  <c r="BA55" i="3"/>
  <c r="BA39" i="3"/>
  <c r="BA30" i="3"/>
  <c r="BA19" i="3"/>
  <c r="BB19" i="3"/>
  <c r="BA40" i="3"/>
  <c r="BB46" i="3"/>
  <c r="BB10" i="3" s="1"/>
  <c r="J533" i="1" s="1"/>
  <c r="BA46" i="3"/>
  <c r="BA53" i="3"/>
  <c r="BA45" i="3"/>
  <c r="BB48" i="3"/>
  <c r="BD10" i="3" s="1"/>
  <c r="I204" i="1" s="1"/>
  <c r="BA48" i="3"/>
  <c r="BA16" i="3"/>
  <c r="BA41" i="3"/>
  <c r="BA17" i="3"/>
  <c r="BA52" i="3"/>
  <c r="BA26" i="3"/>
  <c r="BA18" i="3"/>
  <c r="BA23" i="3"/>
  <c r="BB25" i="3"/>
  <c r="BC5" i="3" s="1"/>
  <c r="BA25" i="3"/>
  <c r="BA24" i="3"/>
  <c r="BA32" i="3"/>
  <c r="BA31" i="3"/>
  <c r="BB54" i="3"/>
  <c r="BC11" i="3" s="1"/>
  <c r="BB33" i="3"/>
  <c r="BD6" i="3" s="1"/>
  <c r="BA33" i="3"/>
  <c r="I492" i="1"/>
  <c r="I476" i="1"/>
  <c r="I383" i="1"/>
  <c r="I367" i="1"/>
  <c r="I274" i="1"/>
  <c r="I201" i="1"/>
  <c r="I203" i="1"/>
  <c r="I474" i="1"/>
  <c r="I458" i="1"/>
  <c r="I365" i="1"/>
  <c r="I349" i="1"/>
  <c r="I546" i="1"/>
  <c r="I404" i="1"/>
  <c r="I256" i="1"/>
  <c r="I107" i="1"/>
  <c r="I422" i="1"/>
  <c r="I403" i="1"/>
  <c r="I238" i="1"/>
  <c r="I222" i="1"/>
  <c r="I123" i="1"/>
  <c r="I105" i="1"/>
  <c r="I440" i="1"/>
  <c r="I421" i="1"/>
  <c r="I221" i="1"/>
  <c r="I439" i="1"/>
  <c r="I401" i="1"/>
  <c r="I181" i="1"/>
  <c r="I240" i="1"/>
  <c r="I457" i="1"/>
  <c r="I419" i="1"/>
  <c r="I219" i="1"/>
  <c r="I180" i="1"/>
  <c r="I477" i="1"/>
  <c r="I437" i="1"/>
  <c r="I163" i="1"/>
  <c r="I125" i="1"/>
  <c r="I495" i="1"/>
  <c r="I455" i="1"/>
  <c r="I313" i="1"/>
  <c r="I295" i="1"/>
  <c r="I178" i="1"/>
  <c r="I162" i="1"/>
  <c r="I494" i="1"/>
  <c r="I331" i="1"/>
  <c r="I312" i="1"/>
  <c r="I294" i="1"/>
  <c r="I160" i="1"/>
  <c r="I144" i="1"/>
  <c r="I531" i="1"/>
  <c r="I513" i="1"/>
  <c r="I348" i="1"/>
  <c r="I330" i="1"/>
  <c r="I277" i="1"/>
  <c r="I143" i="1"/>
  <c r="I549" i="1"/>
  <c r="I530" i="1"/>
  <c r="I512" i="1"/>
  <c r="I368" i="1"/>
  <c r="I310" i="1"/>
  <c r="I292" i="1"/>
  <c r="I276" i="1"/>
  <c r="I259" i="1"/>
  <c r="I528" i="1"/>
  <c r="I548" i="1"/>
  <c r="I386" i="1"/>
  <c r="I346" i="1"/>
  <c r="I328" i="1"/>
  <c r="I258" i="1"/>
  <c r="I241" i="1"/>
  <c r="I141" i="1"/>
  <c r="I126" i="1"/>
  <c r="I510" i="1"/>
  <c r="I385" i="1"/>
  <c r="I108" i="1"/>
  <c r="J548" i="1"/>
  <c r="J222" i="1"/>
  <c r="J221" i="1"/>
  <c r="J203" i="1"/>
  <c r="J219" i="1"/>
  <c r="J276" i="1"/>
  <c r="J261" i="1"/>
  <c r="J274" i="1"/>
  <c r="J479" i="1"/>
  <c r="J477" i="1"/>
  <c r="J160" i="1"/>
  <c r="J143" i="1"/>
  <c r="J330" i="1"/>
  <c r="BB55" i="3"/>
  <c r="BD11" i="3" s="1"/>
  <c r="BB41" i="3"/>
  <c r="BD8" i="3" s="1"/>
  <c r="BB26" i="3"/>
  <c r="BD5" i="3" s="1"/>
  <c r="BD3" i="3"/>
  <c r="BB17" i="3"/>
  <c r="J56" i="1" s="1"/>
  <c r="BB31" i="3"/>
  <c r="BB6" i="3" s="1"/>
  <c r="BB39" i="3"/>
  <c r="BB8" i="3" s="1"/>
  <c r="BB40" i="3"/>
  <c r="BC8" i="3" s="1"/>
  <c r="BB16" i="3"/>
  <c r="BB45" i="3"/>
  <c r="BA10" i="3" s="1"/>
  <c r="BB24" i="3"/>
  <c r="BB5" i="3" s="1"/>
  <c r="BB23" i="3"/>
  <c r="BB38" i="3"/>
  <c r="BB18" i="3"/>
  <c r="BC3" i="3" s="1"/>
  <c r="BB47" i="3"/>
  <c r="BC10" i="3" s="1"/>
  <c r="BB20" i="3"/>
  <c r="BB42" i="3"/>
  <c r="BD9" i="3" s="1"/>
  <c r="BB30" i="3"/>
  <c r="BA6" i="3" s="1"/>
  <c r="BB53" i="3"/>
  <c r="BB11" i="3" s="1"/>
  <c r="BB52" i="3"/>
  <c r="BA11" i="3" s="1"/>
  <c r="BB32" i="3"/>
  <c r="BC6" i="3" s="1"/>
  <c r="M96" i="1" l="1"/>
  <c r="M104" i="1"/>
  <c r="M113" i="1"/>
  <c r="M121" i="1"/>
  <c r="M138" i="1"/>
  <c r="M156" i="1"/>
  <c r="M173" i="1"/>
  <c r="M194" i="1"/>
  <c r="M202" i="1"/>
  <c r="M211" i="1"/>
  <c r="M229" i="1"/>
  <c r="M237" i="1"/>
  <c r="M246" i="1"/>
  <c r="M254" i="1"/>
  <c r="M270" i="1"/>
  <c r="M287" i="1"/>
  <c r="M304" i="1"/>
  <c r="M322" i="1"/>
  <c r="M340" i="1"/>
  <c r="M358" i="1"/>
  <c r="M366" i="1"/>
  <c r="M375" i="1"/>
  <c r="M392" i="1"/>
  <c r="M410" i="1"/>
  <c r="M418" i="1"/>
  <c r="M427" i="1"/>
  <c r="M435" i="1"/>
  <c r="M452" i="1"/>
  <c r="M470" i="1"/>
  <c r="M487" i="1"/>
  <c r="M504" i="1"/>
  <c r="M522" i="1"/>
  <c r="M539" i="1"/>
  <c r="M95" i="1"/>
  <c r="M236" i="1"/>
  <c r="M303" i="1"/>
  <c r="M374" i="1"/>
  <c r="M434" i="1"/>
  <c r="M97" i="1"/>
  <c r="M114" i="1"/>
  <c r="M131" i="1"/>
  <c r="M139" i="1"/>
  <c r="M157" i="1"/>
  <c r="M174" i="1"/>
  <c r="M195" i="1"/>
  <c r="M212" i="1"/>
  <c r="M220" i="1"/>
  <c r="M230" i="1"/>
  <c r="M247" i="1"/>
  <c r="M271" i="1"/>
  <c r="M288" i="1"/>
  <c r="M305" i="1"/>
  <c r="M323" i="1"/>
  <c r="M341" i="1"/>
  <c r="M359" i="1"/>
  <c r="M376" i="1"/>
  <c r="M384" i="1"/>
  <c r="M393" i="1"/>
  <c r="M402" i="1"/>
  <c r="M411" i="1"/>
  <c r="M428" i="1"/>
  <c r="M445" i="1"/>
  <c r="M453" i="1"/>
  <c r="M471" i="1"/>
  <c r="M488" i="1"/>
  <c r="M505" i="1"/>
  <c r="M523" i="1"/>
  <c r="M540" i="1"/>
  <c r="M137" i="1"/>
  <c r="M253" i="1"/>
  <c r="M347" i="1"/>
  <c r="M399" i="1"/>
  <c r="M451" i="1"/>
  <c r="M503" i="1"/>
  <c r="M529" i="1"/>
  <c r="M98" i="1"/>
  <c r="M106" i="1"/>
  <c r="M115" i="1"/>
  <c r="M132" i="1"/>
  <c r="M140" i="1"/>
  <c r="M150" i="1"/>
  <c r="M158" i="1"/>
  <c r="M175" i="1"/>
  <c r="M196" i="1"/>
  <c r="M213" i="1"/>
  <c r="M231" i="1"/>
  <c r="M239" i="1"/>
  <c r="M248" i="1"/>
  <c r="M264" i="1"/>
  <c r="M272" i="1"/>
  <c r="M289" i="1"/>
  <c r="M306" i="1"/>
  <c r="M324" i="1"/>
  <c r="M342" i="1"/>
  <c r="M360" i="1"/>
  <c r="M377" i="1"/>
  <c r="M394" i="1"/>
  <c r="M412" i="1"/>
  <c r="M420" i="1"/>
  <c r="M429" i="1"/>
  <c r="M446" i="1"/>
  <c r="M464" i="1"/>
  <c r="M472" i="1"/>
  <c r="M489" i="1"/>
  <c r="M506" i="1"/>
  <c r="M524" i="1"/>
  <c r="M541" i="1"/>
  <c r="M172" i="1"/>
  <c r="M357" i="1"/>
  <c r="M417" i="1"/>
  <c r="M486" i="1"/>
  <c r="M99" i="1"/>
  <c r="M116" i="1"/>
  <c r="M124" i="1"/>
  <c r="M133" i="1"/>
  <c r="M151" i="1"/>
  <c r="M159" i="1"/>
  <c r="M168" i="1"/>
  <c r="M176" i="1"/>
  <c r="M197" i="1"/>
  <c r="M214" i="1"/>
  <c r="M232" i="1"/>
  <c r="M249" i="1"/>
  <c r="M257" i="1"/>
  <c r="M265" i="1"/>
  <c r="M282" i="1"/>
  <c r="M290" i="1"/>
  <c r="M307" i="1"/>
  <c r="M325" i="1"/>
  <c r="M343" i="1"/>
  <c r="M361" i="1"/>
  <c r="M378" i="1"/>
  <c r="M395" i="1"/>
  <c r="M413" i="1"/>
  <c r="M430" i="1"/>
  <c r="M438" i="1"/>
  <c r="M447" i="1"/>
  <c r="M465" i="1"/>
  <c r="M473" i="1"/>
  <c r="M482" i="1"/>
  <c r="M490" i="1"/>
  <c r="M507" i="1"/>
  <c r="M525" i="1"/>
  <c r="M542" i="1"/>
  <c r="M103" i="1"/>
  <c r="M210" i="1"/>
  <c r="M269" i="1"/>
  <c r="M391" i="1"/>
  <c r="M538" i="1"/>
  <c r="M100" i="1"/>
  <c r="M117" i="1"/>
  <c r="M134" i="1"/>
  <c r="M142" i="1"/>
  <c r="M152" i="1"/>
  <c r="M169" i="1"/>
  <c r="M190" i="1"/>
  <c r="M198" i="1"/>
  <c r="M215" i="1"/>
  <c r="M233" i="1"/>
  <c r="M250" i="1"/>
  <c r="M266" i="1"/>
  <c r="M283" i="1"/>
  <c r="M291" i="1"/>
  <c r="M300" i="1"/>
  <c r="M308" i="1"/>
  <c r="M318" i="1"/>
  <c r="M317" i="1" s="1"/>
  <c r="B32" i="9" s="1"/>
  <c r="M326" i="1"/>
  <c r="M336" i="1"/>
  <c r="M344" i="1"/>
  <c r="M362" i="1"/>
  <c r="M379" i="1"/>
  <c r="M396" i="1"/>
  <c r="M414" i="1"/>
  <c r="M431" i="1"/>
  <c r="M448" i="1"/>
  <c r="M456" i="1"/>
  <c r="M466" i="1"/>
  <c r="M483" i="1"/>
  <c r="M500" i="1"/>
  <c r="M508" i="1"/>
  <c r="M518" i="1"/>
  <c r="M526" i="1"/>
  <c r="M543" i="1"/>
  <c r="M321" i="1"/>
  <c r="M101" i="1"/>
  <c r="M118" i="1"/>
  <c r="M135" i="1"/>
  <c r="M153" i="1"/>
  <c r="M161" i="1"/>
  <c r="M170" i="1"/>
  <c r="M191" i="1"/>
  <c r="M199" i="1"/>
  <c r="M216" i="1"/>
  <c r="M234" i="1"/>
  <c r="M251" i="1"/>
  <c r="M267" i="1"/>
  <c r="M275" i="1"/>
  <c r="M284" i="1"/>
  <c r="M301" i="1"/>
  <c r="M319" i="1"/>
  <c r="M337" i="1"/>
  <c r="M355" i="1"/>
  <c r="M363" i="1"/>
  <c r="M380" i="1"/>
  <c r="M397" i="1"/>
  <c r="M415" i="1"/>
  <c r="M432" i="1"/>
  <c r="M449" i="1"/>
  <c r="M467" i="1"/>
  <c r="M475" i="1"/>
  <c r="M484" i="1"/>
  <c r="M501" i="1"/>
  <c r="M519" i="1"/>
  <c r="M527" i="1"/>
  <c r="M536" i="1"/>
  <c r="M544" i="1"/>
  <c r="M120" i="1"/>
  <c r="M155" i="1"/>
  <c r="M228" i="1"/>
  <c r="M286" i="1"/>
  <c r="M339" i="1"/>
  <c r="M409" i="1"/>
  <c r="M469" i="1"/>
  <c r="M521" i="1"/>
  <c r="M102" i="1"/>
  <c r="M119" i="1"/>
  <c r="M136" i="1"/>
  <c r="M154" i="1"/>
  <c r="M171" i="1"/>
  <c r="M179" i="1"/>
  <c r="M192" i="1"/>
  <c r="M209" i="1"/>
  <c r="M217" i="1"/>
  <c r="M235" i="1"/>
  <c r="M252" i="1"/>
  <c r="M268" i="1"/>
  <c r="M285" i="1"/>
  <c r="M293" i="1"/>
  <c r="M302" i="1"/>
  <c r="M311" i="1"/>
  <c r="M320" i="1"/>
  <c r="M329" i="1"/>
  <c r="M338" i="1"/>
  <c r="M356" i="1"/>
  <c r="M364" i="1"/>
  <c r="M373" i="1"/>
  <c r="M381" i="1"/>
  <c r="M398" i="1"/>
  <c r="M416" i="1"/>
  <c r="M433" i="1"/>
  <c r="M450" i="1"/>
  <c r="M468" i="1"/>
  <c r="M485" i="1"/>
  <c r="M493" i="1"/>
  <c r="M502" i="1"/>
  <c r="M511" i="1"/>
  <c r="M520" i="1"/>
  <c r="M537" i="1"/>
  <c r="M193" i="1"/>
  <c r="M547" i="1"/>
  <c r="M146" i="1"/>
  <c r="M181" i="1"/>
  <c r="M219" i="1"/>
  <c r="M295" i="1"/>
  <c r="M313" i="1"/>
  <c r="M331" i="1"/>
  <c r="M348" i="1"/>
  <c r="M383" i="1"/>
  <c r="M401" i="1"/>
  <c r="M460" i="1"/>
  <c r="M495" i="1"/>
  <c r="M513" i="1"/>
  <c r="M530" i="1"/>
  <c r="M548" i="1"/>
  <c r="M477" i="1"/>
  <c r="M512" i="1"/>
  <c r="M105" i="1"/>
  <c r="M165" i="1"/>
  <c r="M203" i="1"/>
  <c r="M238" i="1"/>
  <c r="M279" i="1"/>
  <c r="M349" i="1"/>
  <c r="M367" i="1"/>
  <c r="M419" i="1"/>
  <c r="M479" i="1"/>
  <c r="M531" i="1"/>
  <c r="M549" i="1"/>
  <c r="M201" i="1"/>
  <c r="M294" i="1"/>
  <c r="M123" i="1"/>
  <c r="M183" i="1"/>
  <c r="M204" i="1"/>
  <c r="M221" i="1"/>
  <c r="M256" i="1"/>
  <c r="M297" i="1"/>
  <c r="M315" i="1"/>
  <c r="M333" i="1"/>
  <c r="M368" i="1"/>
  <c r="M385" i="1"/>
  <c r="M403" i="1"/>
  <c r="M437" i="1"/>
  <c r="M497" i="1"/>
  <c r="M515" i="1"/>
  <c r="M128" i="1"/>
  <c r="M107" i="1"/>
  <c r="M141" i="1"/>
  <c r="M222" i="1"/>
  <c r="M240" i="1"/>
  <c r="M351" i="1"/>
  <c r="M386" i="1"/>
  <c r="M404" i="1"/>
  <c r="M421" i="1"/>
  <c r="M455" i="1"/>
  <c r="M533" i="1"/>
  <c r="M551" i="1"/>
  <c r="M163" i="1"/>
  <c r="M330" i="1"/>
  <c r="M108" i="1"/>
  <c r="M125" i="1"/>
  <c r="M160" i="1"/>
  <c r="M206" i="1"/>
  <c r="M241" i="1"/>
  <c r="M258" i="1"/>
  <c r="M274" i="1"/>
  <c r="M370" i="1"/>
  <c r="M422" i="1"/>
  <c r="M439" i="1"/>
  <c r="M474" i="1"/>
  <c r="M277" i="1"/>
  <c r="M442" i="1"/>
  <c r="M494" i="1"/>
  <c r="M126" i="1"/>
  <c r="M143" i="1"/>
  <c r="M178" i="1"/>
  <c r="M224" i="1"/>
  <c r="M259" i="1"/>
  <c r="M292" i="1"/>
  <c r="M310" i="1"/>
  <c r="M328" i="1"/>
  <c r="M388" i="1"/>
  <c r="M406" i="1"/>
  <c r="M440" i="1"/>
  <c r="M457" i="1"/>
  <c r="M492" i="1"/>
  <c r="M510" i="1"/>
  <c r="M180" i="1"/>
  <c r="M110" i="1"/>
  <c r="M144" i="1"/>
  <c r="M162" i="1"/>
  <c r="M243" i="1"/>
  <c r="M276" i="1"/>
  <c r="M346" i="1"/>
  <c r="M424" i="1"/>
  <c r="M458" i="1"/>
  <c r="M476" i="1"/>
  <c r="M528" i="1"/>
  <c r="M546" i="1"/>
  <c r="M261" i="1"/>
  <c r="M312" i="1"/>
  <c r="M365" i="1"/>
  <c r="M11" i="1"/>
  <c r="M19" i="1"/>
  <c r="M28" i="1"/>
  <c r="M45" i="1"/>
  <c r="M62" i="1"/>
  <c r="M70" i="1"/>
  <c r="M79" i="1"/>
  <c r="M61" i="1"/>
  <c r="M12" i="1"/>
  <c r="M29" i="1"/>
  <c r="M46" i="1"/>
  <c r="M63" i="1"/>
  <c r="M80" i="1"/>
  <c r="M88" i="1"/>
  <c r="M52" i="1"/>
  <c r="M13" i="1"/>
  <c r="M30" i="1"/>
  <c r="M47" i="1"/>
  <c r="M64" i="1"/>
  <c r="M81" i="1"/>
  <c r="M35" i="1"/>
  <c r="M14" i="1"/>
  <c r="M31" i="1"/>
  <c r="M48" i="1"/>
  <c r="M65" i="1"/>
  <c r="M82" i="1"/>
  <c r="M44" i="1"/>
  <c r="M78" i="1"/>
  <c r="M15" i="1"/>
  <c r="M24" i="1"/>
  <c r="M23" i="1" s="1"/>
  <c r="M32" i="1"/>
  <c r="M41" i="1"/>
  <c r="M49" i="1"/>
  <c r="M66" i="1"/>
  <c r="M83" i="1"/>
  <c r="M16" i="1"/>
  <c r="M25" i="1"/>
  <c r="M33" i="1"/>
  <c r="M42" i="1"/>
  <c r="M50" i="1"/>
  <c r="M59" i="1"/>
  <c r="M67" i="1"/>
  <c r="M84" i="1"/>
  <c r="M27" i="1"/>
  <c r="M86" i="1"/>
  <c r="M17" i="1"/>
  <c r="M26" i="1"/>
  <c r="M43" i="1"/>
  <c r="M60" i="1"/>
  <c r="M77" i="1"/>
  <c r="M85" i="1"/>
  <c r="M10" i="1"/>
  <c r="M21" i="1"/>
  <c r="M38" i="1"/>
  <c r="M55" i="1"/>
  <c r="M73" i="1"/>
  <c r="M91" i="1"/>
  <c r="M164" i="1"/>
  <c r="M278" i="1"/>
  <c r="M478" i="1"/>
  <c r="M182" i="1"/>
  <c r="M296" i="1"/>
  <c r="M314" i="1"/>
  <c r="M332" i="1"/>
  <c r="M496" i="1"/>
  <c r="M514" i="1"/>
  <c r="M350" i="1"/>
  <c r="M532" i="1"/>
  <c r="M550" i="1"/>
  <c r="M205" i="1"/>
  <c r="M369" i="1"/>
  <c r="M459" i="1"/>
  <c r="M223" i="1"/>
  <c r="M387" i="1"/>
  <c r="M405" i="1"/>
  <c r="M145" i="1"/>
  <c r="M109" i="1"/>
  <c r="M242" i="1"/>
  <c r="M423" i="1"/>
  <c r="M127" i="1"/>
  <c r="M260" i="1"/>
  <c r="M441" i="1"/>
  <c r="M36" i="1"/>
  <c r="M53" i="1"/>
  <c r="M87" i="1"/>
  <c r="M20" i="1"/>
  <c r="M37" i="1"/>
  <c r="M54" i="1"/>
  <c r="M71" i="1"/>
  <c r="M72" i="1"/>
  <c r="M89" i="1"/>
  <c r="M56" i="1"/>
  <c r="M90" i="1"/>
  <c r="M69" i="1"/>
  <c r="M74" i="1"/>
  <c r="M18" i="1"/>
  <c r="M92" i="1"/>
  <c r="M34" i="1"/>
  <c r="M51" i="1"/>
  <c r="J128" i="1"/>
  <c r="J241" i="1"/>
  <c r="J328" i="1"/>
  <c r="J492" i="1"/>
  <c r="J165" i="1"/>
  <c r="J348" i="1"/>
  <c r="J349" i="1"/>
  <c r="J351" i="1"/>
  <c r="J277" i="1"/>
  <c r="J279" i="1"/>
  <c r="J294" i="1"/>
  <c r="J238" i="1"/>
  <c r="K204" i="1"/>
  <c r="J224" i="1"/>
  <c r="J146" i="1"/>
  <c r="J388" i="1"/>
  <c r="J163" i="1"/>
  <c r="J258" i="1"/>
  <c r="J422" i="1"/>
  <c r="J365" i="1"/>
  <c r="J439" i="1"/>
  <c r="J292" i="1"/>
  <c r="J368" i="1"/>
  <c r="J310" i="1"/>
  <c r="J295" i="1"/>
  <c r="J144" i="1"/>
  <c r="J549" i="1"/>
  <c r="J312" i="1"/>
  <c r="J403" i="1"/>
  <c r="J178" i="1"/>
  <c r="J333" i="1"/>
  <c r="J437" i="1"/>
  <c r="J424" i="1"/>
  <c r="J513" i="1"/>
  <c r="J367" i="1"/>
  <c r="J383" i="1"/>
  <c r="J370" i="1"/>
  <c r="J385" i="1"/>
  <c r="J180" i="1"/>
  <c r="J313" i="1"/>
  <c r="J476" i="1"/>
  <c r="J243" i="1"/>
  <c r="J421" i="1"/>
  <c r="J495" i="1"/>
  <c r="J497" i="1"/>
  <c r="J528" i="1"/>
  <c r="J440" i="1"/>
  <c r="J442" i="1"/>
  <c r="J457" i="1"/>
  <c r="J401" i="1"/>
  <c r="J297" i="1"/>
  <c r="J256" i="1"/>
  <c r="J551" i="1"/>
  <c r="J331" i="1"/>
  <c r="J494" i="1"/>
  <c r="J105" i="1"/>
  <c r="J512" i="1"/>
  <c r="J108" i="1"/>
  <c r="J455" i="1"/>
  <c r="J530" i="1"/>
  <c r="J531" i="1"/>
  <c r="J458" i="1"/>
  <c r="J386" i="1"/>
  <c r="J315" i="1"/>
  <c r="J404" i="1"/>
  <c r="J346" i="1"/>
  <c r="J510" i="1"/>
  <c r="J181" i="1"/>
  <c r="J107" i="1"/>
  <c r="J123" i="1"/>
  <c r="J515" i="1"/>
  <c r="J546" i="1"/>
  <c r="J126" i="1"/>
  <c r="J474" i="1"/>
  <c r="J162" i="1"/>
  <c r="J240" i="1"/>
  <c r="J460" i="1"/>
  <c r="J419" i="1"/>
  <c r="J406" i="1"/>
  <c r="J259" i="1"/>
  <c r="J200" i="1"/>
  <c r="J183" i="1"/>
  <c r="J202" i="1"/>
  <c r="J110" i="1"/>
  <c r="J125" i="1"/>
  <c r="J141" i="1"/>
  <c r="I218" i="1"/>
  <c r="I255" i="1"/>
  <c r="I122" i="1"/>
  <c r="I177" i="1"/>
  <c r="I176" i="1"/>
  <c r="I217" i="1"/>
  <c r="BB3" i="3"/>
  <c r="I54" i="1"/>
  <c r="I74" i="1"/>
  <c r="I69" i="1"/>
  <c r="I53" i="1"/>
  <c r="I89" i="1"/>
  <c r="I92" i="1"/>
  <c r="I87" i="1"/>
  <c r="I72" i="1"/>
  <c r="I90" i="1"/>
  <c r="I71" i="1"/>
  <c r="I51" i="1"/>
  <c r="I70" i="1"/>
  <c r="I50" i="1"/>
  <c r="I46" i="1"/>
  <c r="I42" i="1"/>
  <c r="I88" i="1"/>
  <c r="I84" i="1"/>
  <c r="I80" i="1"/>
  <c r="I65" i="1"/>
  <c r="I61" i="1"/>
  <c r="I49" i="1"/>
  <c r="I45" i="1"/>
  <c r="I41" i="1"/>
  <c r="I66" i="1"/>
  <c r="I85" i="1"/>
  <c r="I62" i="1"/>
  <c r="I83" i="1"/>
  <c r="I79" i="1"/>
  <c r="I64" i="1"/>
  <c r="I60" i="1"/>
  <c r="I81" i="1"/>
  <c r="I52" i="1"/>
  <c r="I48" i="1"/>
  <c r="I44" i="1"/>
  <c r="I86" i="1"/>
  <c r="I82" i="1"/>
  <c r="I78" i="1"/>
  <c r="I67" i="1"/>
  <c r="I63" i="1"/>
  <c r="I59" i="1"/>
  <c r="I47" i="1"/>
  <c r="I43" i="1"/>
  <c r="I77" i="1"/>
  <c r="I205" i="1"/>
  <c r="I350" i="1"/>
  <c r="I109" i="1"/>
  <c r="I550" i="1"/>
  <c r="I332" i="1"/>
  <c r="I532" i="1"/>
  <c r="I314" i="1"/>
  <c r="I387" i="1"/>
  <c r="I369" i="1"/>
  <c r="I296" i="1"/>
  <c r="I278" i="1"/>
  <c r="I260" i="1"/>
  <c r="I514" i="1"/>
  <c r="I242" i="1"/>
  <c r="I496" i="1"/>
  <c r="I223" i="1"/>
  <c r="I478" i="1"/>
  <c r="I182" i="1"/>
  <c r="I459" i="1"/>
  <c r="I164" i="1"/>
  <c r="I441" i="1"/>
  <c r="I145" i="1"/>
  <c r="I423" i="1"/>
  <c r="I127" i="1"/>
  <c r="I405" i="1"/>
  <c r="J532" i="1"/>
  <c r="J423" i="1"/>
  <c r="J314" i="1"/>
  <c r="J205" i="1"/>
  <c r="J127" i="1"/>
  <c r="J109" i="1"/>
  <c r="J182" i="1"/>
  <c r="J550" i="1"/>
  <c r="J260" i="1"/>
  <c r="J459" i="1"/>
  <c r="J514" i="1"/>
  <c r="J405" i="1"/>
  <c r="J296" i="1"/>
  <c r="J478" i="1"/>
  <c r="J164" i="1"/>
  <c r="J223" i="1"/>
  <c r="J496" i="1"/>
  <c r="J387" i="1"/>
  <c r="J278" i="1"/>
  <c r="J369" i="1"/>
  <c r="J350" i="1"/>
  <c r="J145" i="1"/>
  <c r="J242" i="1"/>
  <c r="J332" i="1"/>
  <c r="J441" i="1"/>
  <c r="J161" i="1"/>
  <c r="J502" i="1"/>
  <c r="J538" i="1"/>
  <c r="J302" i="1"/>
  <c r="J320" i="1"/>
  <c r="J393" i="1"/>
  <c r="K144" i="1"/>
  <c r="K110" i="1"/>
  <c r="J204" i="1"/>
  <c r="K495" i="1"/>
  <c r="K437" i="1"/>
  <c r="K422" i="1"/>
  <c r="K348" i="1"/>
  <c r="K274" i="1"/>
  <c r="K259" i="1"/>
  <c r="K180" i="1"/>
  <c r="K510" i="1"/>
  <c r="K494" i="1"/>
  <c r="K421" i="1"/>
  <c r="K333" i="1"/>
  <c r="K258" i="1"/>
  <c r="K165" i="1"/>
  <c r="K479" i="1"/>
  <c r="K406" i="1"/>
  <c r="K346" i="1"/>
  <c r="K331" i="1"/>
  <c r="K243" i="1"/>
  <c r="K178" i="1"/>
  <c r="K163" i="1"/>
  <c r="K551" i="1"/>
  <c r="K492" i="1"/>
  <c r="K477" i="1"/>
  <c r="K419" i="1"/>
  <c r="K404" i="1"/>
  <c r="K330" i="1"/>
  <c r="K315" i="1"/>
  <c r="K256" i="1"/>
  <c r="K241" i="1"/>
  <c r="K162" i="1"/>
  <c r="K146" i="1"/>
  <c r="K549" i="1"/>
  <c r="K476" i="1"/>
  <c r="K403" i="1"/>
  <c r="K388" i="1"/>
  <c r="K313" i="1"/>
  <c r="K240" i="1"/>
  <c r="K160" i="1"/>
  <c r="K143" i="1"/>
  <c r="K548" i="1"/>
  <c r="K460" i="1"/>
  <c r="K386" i="1"/>
  <c r="K328" i="1"/>
  <c r="K312" i="1"/>
  <c r="K297" i="1"/>
  <c r="K224" i="1"/>
  <c r="K128" i="1"/>
  <c r="K533" i="1"/>
  <c r="K474" i="1"/>
  <c r="K458" i="1"/>
  <c r="K401" i="1"/>
  <c r="K385" i="1"/>
  <c r="K295" i="1"/>
  <c r="K238" i="1"/>
  <c r="K222" i="1"/>
  <c r="K141" i="1"/>
  <c r="K126" i="1"/>
  <c r="K546" i="1"/>
  <c r="K531" i="1"/>
  <c r="K457" i="1"/>
  <c r="K370" i="1"/>
  <c r="K310" i="1"/>
  <c r="K294" i="1"/>
  <c r="K221" i="1"/>
  <c r="K125" i="1"/>
  <c r="K530" i="1"/>
  <c r="K442" i="1"/>
  <c r="K383" i="1"/>
  <c r="K368" i="1"/>
  <c r="K279" i="1"/>
  <c r="K203" i="1"/>
  <c r="K108" i="1"/>
  <c r="K515" i="1"/>
  <c r="K455" i="1"/>
  <c r="K440" i="1"/>
  <c r="K367" i="1"/>
  <c r="K292" i="1"/>
  <c r="K277" i="1"/>
  <c r="K219" i="1"/>
  <c r="K202" i="1"/>
  <c r="K123" i="1"/>
  <c r="K107" i="1"/>
  <c r="K528" i="1"/>
  <c r="K513" i="1"/>
  <c r="K439" i="1"/>
  <c r="K351" i="1"/>
  <c r="K276" i="1"/>
  <c r="K183" i="1"/>
  <c r="K105" i="1"/>
  <c r="K200" i="1"/>
  <c r="K365" i="1"/>
  <c r="K181" i="1"/>
  <c r="K349" i="1"/>
  <c r="K512" i="1"/>
  <c r="K497" i="1"/>
  <c r="K261" i="1"/>
  <c r="K424" i="1"/>
  <c r="K369" i="1"/>
  <c r="K441" i="1"/>
  <c r="K514" i="1"/>
  <c r="K405" i="1"/>
  <c r="K296" i="1"/>
  <c r="K109" i="1"/>
  <c r="K387" i="1"/>
  <c r="K182" i="1"/>
  <c r="K459" i="1"/>
  <c r="K278" i="1"/>
  <c r="K164" i="1"/>
  <c r="K127" i="1"/>
  <c r="K496" i="1"/>
  <c r="K223" i="1"/>
  <c r="K260" i="1"/>
  <c r="K350" i="1"/>
  <c r="K242" i="1"/>
  <c r="K145" i="1"/>
  <c r="K478" i="1"/>
  <c r="K332" i="1"/>
  <c r="K314" i="1"/>
  <c r="K205" i="1"/>
  <c r="K532" i="1"/>
  <c r="K550" i="1"/>
  <c r="K423" i="1"/>
  <c r="J28" i="1"/>
  <c r="J10" i="1"/>
  <c r="J88" i="1"/>
  <c r="J84" i="1"/>
  <c r="J80" i="1"/>
  <c r="J65" i="1"/>
  <c r="J61" i="1"/>
  <c r="J27" i="1"/>
  <c r="J49" i="1"/>
  <c r="J45" i="1"/>
  <c r="J41" i="1"/>
  <c r="J26" i="1"/>
  <c r="J25" i="1"/>
  <c r="J42" i="1"/>
  <c r="J83" i="1"/>
  <c r="J79" i="1"/>
  <c r="J64" i="1"/>
  <c r="J60" i="1"/>
  <c r="J24" i="1"/>
  <c r="J11" i="1"/>
  <c r="J68" i="1"/>
  <c r="J52" i="1"/>
  <c r="J48" i="1"/>
  <c r="J44" i="1"/>
  <c r="J17" i="1"/>
  <c r="J19" i="1"/>
  <c r="J35" i="1"/>
  <c r="J16" i="1"/>
  <c r="J86" i="1"/>
  <c r="J82" i="1"/>
  <c r="J78" i="1"/>
  <c r="J67" i="1"/>
  <c r="J63" i="1"/>
  <c r="J59" i="1"/>
  <c r="J33" i="1"/>
  <c r="J15" i="1"/>
  <c r="J47" i="1"/>
  <c r="J43" i="1"/>
  <c r="J32" i="1"/>
  <c r="J14" i="1"/>
  <c r="J31" i="1"/>
  <c r="J13" i="1"/>
  <c r="J70" i="1"/>
  <c r="J46" i="1"/>
  <c r="J29" i="1"/>
  <c r="J85" i="1"/>
  <c r="J81" i="1"/>
  <c r="J77" i="1"/>
  <c r="J66" i="1"/>
  <c r="J62" i="1"/>
  <c r="J30" i="1"/>
  <c r="J12" i="1"/>
  <c r="J50" i="1"/>
  <c r="J91" i="1"/>
  <c r="J73" i="1"/>
  <c r="J38" i="1"/>
  <c r="J55" i="1"/>
  <c r="J21" i="1"/>
  <c r="I418" i="1"/>
  <c r="I248" i="1"/>
  <c r="I191" i="1"/>
  <c r="I539" i="1"/>
  <c r="I524" i="1"/>
  <c r="I508" i="1"/>
  <c r="I464" i="1"/>
  <c r="I447" i="1"/>
  <c r="I431" i="1"/>
  <c r="I415" i="1"/>
  <c r="I399" i="1"/>
  <c r="I355" i="1"/>
  <c r="I338" i="1"/>
  <c r="I322" i="1"/>
  <c r="I305" i="1"/>
  <c r="I289" i="1"/>
  <c r="I161" i="1"/>
  <c r="I502" i="1"/>
  <c r="I190" i="1"/>
  <c r="I538" i="1"/>
  <c r="I523" i="1"/>
  <c r="I507" i="1"/>
  <c r="I490" i="1"/>
  <c r="I475" i="1"/>
  <c r="I446" i="1"/>
  <c r="I430" i="1"/>
  <c r="I414" i="1"/>
  <c r="I398" i="1"/>
  <c r="I381" i="1"/>
  <c r="I366" i="1"/>
  <c r="I337" i="1"/>
  <c r="I321" i="1"/>
  <c r="I537" i="1"/>
  <c r="I522" i="1"/>
  <c r="I506" i="1"/>
  <c r="I489" i="1"/>
  <c r="I445" i="1"/>
  <c r="I429" i="1"/>
  <c r="I413" i="1"/>
  <c r="I397" i="1"/>
  <c r="I380" i="1"/>
  <c r="I302" i="1"/>
  <c r="I320" i="1"/>
  <c r="I393" i="1"/>
  <c r="I199" i="1"/>
  <c r="I527" i="1"/>
  <c r="I505" i="1"/>
  <c r="I485" i="1"/>
  <c r="I467" i="1"/>
  <c r="I448" i="1"/>
  <c r="I384" i="1"/>
  <c r="I362" i="1"/>
  <c r="I343" i="1"/>
  <c r="I325" i="1"/>
  <c r="I306" i="1"/>
  <c r="I288" i="1"/>
  <c r="I271" i="1"/>
  <c r="I239" i="1"/>
  <c r="I210" i="1"/>
  <c r="I171" i="1"/>
  <c r="I155" i="1"/>
  <c r="I139" i="1"/>
  <c r="I124" i="1"/>
  <c r="I95" i="1"/>
  <c r="I198" i="1"/>
  <c r="I544" i="1"/>
  <c r="I526" i="1"/>
  <c r="I504" i="1"/>
  <c r="I484" i="1"/>
  <c r="I466" i="1"/>
  <c r="I379" i="1"/>
  <c r="I361" i="1"/>
  <c r="I342" i="1"/>
  <c r="I324" i="1"/>
  <c r="I304" i="1"/>
  <c r="I287" i="1"/>
  <c r="I270" i="1"/>
  <c r="I254" i="1"/>
  <c r="I209" i="1"/>
  <c r="I170" i="1"/>
  <c r="I154" i="1"/>
  <c r="I138" i="1"/>
  <c r="I197" i="1"/>
  <c r="I543" i="1"/>
  <c r="I525" i="1"/>
  <c r="I503" i="1"/>
  <c r="I483" i="1"/>
  <c r="I465" i="1"/>
  <c r="I402" i="1"/>
  <c r="I378" i="1"/>
  <c r="I360" i="1"/>
  <c r="I341" i="1"/>
  <c r="I323" i="1"/>
  <c r="I303" i="1"/>
  <c r="I286" i="1"/>
  <c r="I269" i="1"/>
  <c r="I253" i="1"/>
  <c r="I237" i="1"/>
  <c r="I169" i="1"/>
  <c r="I153" i="1"/>
  <c r="I137" i="1"/>
  <c r="I121" i="1"/>
  <c r="I106" i="1"/>
  <c r="I196" i="1"/>
  <c r="I542" i="1"/>
  <c r="I521" i="1"/>
  <c r="I501" i="1"/>
  <c r="I482" i="1"/>
  <c r="I420" i="1"/>
  <c r="I377" i="1"/>
  <c r="I359" i="1"/>
  <c r="I340" i="1"/>
  <c r="I319" i="1"/>
  <c r="I301" i="1"/>
  <c r="I285" i="1"/>
  <c r="I268" i="1"/>
  <c r="I252" i="1"/>
  <c r="I236" i="1"/>
  <c r="I220" i="1"/>
  <c r="I168" i="1"/>
  <c r="I152" i="1"/>
  <c r="I136" i="1"/>
  <c r="I120" i="1"/>
  <c r="I96" i="1"/>
  <c r="I202" i="1"/>
  <c r="I486" i="1"/>
  <c r="I427" i="1"/>
  <c r="I326" i="1"/>
  <c r="I290" i="1"/>
  <c r="I140" i="1"/>
  <c r="I195" i="1"/>
  <c r="I541" i="1"/>
  <c r="I520" i="1"/>
  <c r="I500" i="1"/>
  <c r="I438" i="1"/>
  <c r="I396" i="1"/>
  <c r="I376" i="1"/>
  <c r="I358" i="1"/>
  <c r="I339" i="1"/>
  <c r="I318" i="1"/>
  <c r="I300" i="1"/>
  <c r="I284" i="1"/>
  <c r="I267" i="1"/>
  <c r="I251" i="1"/>
  <c r="I235" i="1"/>
  <c r="I151" i="1"/>
  <c r="I135" i="1"/>
  <c r="I119" i="1"/>
  <c r="I97" i="1"/>
  <c r="I211" i="1"/>
  <c r="I194" i="1"/>
  <c r="I540" i="1"/>
  <c r="I519" i="1"/>
  <c r="I456" i="1"/>
  <c r="I417" i="1"/>
  <c r="I395" i="1"/>
  <c r="I375" i="1"/>
  <c r="I357" i="1"/>
  <c r="I336" i="1"/>
  <c r="I283" i="1"/>
  <c r="I266" i="1"/>
  <c r="I250" i="1"/>
  <c r="I234" i="1"/>
  <c r="I179" i="1"/>
  <c r="I150" i="1"/>
  <c r="I134" i="1"/>
  <c r="I118" i="1"/>
  <c r="I98" i="1"/>
  <c r="I547" i="1"/>
  <c r="I344" i="1"/>
  <c r="I228" i="1"/>
  <c r="I193" i="1"/>
  <c r="I536" i="1"/>
  <c r="I518" i="1"/>
  <c r="I473" i="1"/>
  <c r="I435" i="1"/>
  <c r="I416" i="1"/>
  <c r="I394" i="1"/>
  <c r="I374" i="1"/>
  <c r="I356" i="1"/>
  <c r="I282" i="1"/>
  <c r="I265" i="1"/>
  <c r="I249" i="1"/>
  <c r="I233" i="1"/>
  <c r="I216" i="1"/>
  <c r="I133" i="1"/>
  <c r="I117" i="1"/>
  <c r="I99" i="1"/>
  <c r="I192" i="1"/>
  <c r="I472" i="1"/>
  <c r="I453" i="1"/>
  <c r="I434" i="1"/>
  <c r="I412" i="1"/>
  <c r="I392" i="1"/>
  <c r="I373" i="1"/>
  <c r="I264" i="1"/>
  <c r="I247" i="1"/>
  <c r="I232" i="1"/>
  <c r="I215" i="1"/>
  <c r="I132" i="1"/>
  <c r="I116" i="1"/>
  <c r="I100" i="1"/>
  <c r="I493" i="1"/>
  <c r="I471" i="1"/>
  <c r="I452" i="1"/>
  <c r="I433" i="1"/>
  <c r="I411" i="1"/>
  <c r="I391" i="1"/>
  <c r="I311" i="1"/>
  <c r="I293" i="1"/>
  <c r="I246" i="1"/>
  <c r="I231" i="1"/>
  <c r="I214" i="1"/>
  <c r="I175" i="1"/>
  <c r="I159" i="1"/>
  <c r="I131" i="1"/>
  <c r="I115" i="1"/>
  <c r="I101" i="1"/>
  <c r="I488" i="1"/>
  <c r="I470" i="1"/>
  <c r="I451" i="1"/>
  <c r="I432" i="1"/>
  <c r="I410" i="1"/>
  <c r="I347" i="1"/>
  <c r="I329" i="1"/>
  <c r="I230" i="1"/>
  <c r="I213" i="1"/>
  <c r="I174" i="1"/>
  <c r="I158" i="1"/>
  <c r="I142" i="1"/>
  <c r="I114" i="1"/>
  <c r="I102" i="1"/>
  <c r="I468" i="1"/>
  <c r="I363" i="1"/>
  <c r="I272" i="1"/>
  <c r="I156" i="1"/>
  <c r="I104" i="1"/>
  <c r="I529" i="1"/>
  <c r="I511" i="1"/>
  <c r="I487" i="1"/>
  <c r="I469" i="1"/>
  <c r="I450" i="1"/>
  <c r="I428" i="1"/>
  <c r="I409" i="1"/>
  <c r="I364" i="1"/>
  <c r="I308" i="1"/>
  <c r="I291" i="1"/>
  <c r="I275" i="1"/>
  <c r="I229" i="1"/>
  <c r="I212" i="1"/>
  <c r="I173" i="1"/>
  <c r="I157" i="1"/>
  <c r="I113" i="1"/>
  <c r="I103" i="1"/>
  <c r="I449" i="1"/>
  <c r="I307" i="1"/>
  <c r="I257" i="1"/>
  <c r="I172" i="1"/>
  <c r="I200" i="1"/>
  <c r="I491" i="1"/>
  <c r="I436" i="1"/>
  <c r="I382" i="1"/>
  <c r="I454" i="1"/>
  <c r="I345" i="1"/>
  <c r="I273" i="1"/>
  <c r="J520" i="1"/>
  <c r="J505" i="1"/>
  <c r="J489" i="1"/>
  <c r="J446" i="1"/>
  <c r="J431" i="1"/>
  <c r="J416" i="1"/>
  <c r="J373" i="1"/>
  <c r="J358" i="1"/>
  <c r="J342" i="1"/>
  <c r="J327" i="1"/>
  <c r="J311" i="1"/>
  <c r="J283" i="1"/>
  <c r="J268" i="1"/>
  <c r="J253" i="1"/>
  <c r="J210" i="1"/>
  <c r="J193" i="1"/>
  <c r="J174" i="1"/>
  <c r="J158" i="1"/>
  <c r="J114" i="1"/>
  <c r="J101" i="1"/>
  <c r="J547" i="1"/>
  <c r="J519" i="1"/>
  <c r="J504" i="1"/>
  <c r="J488" i="1"/>
  <c r="J473" i="1"/>
  <c r="J445" i="1"/>
  <c r="J430" i="1"/>
  <c r="J415" i="1"/>
  <c r="J400" i="1"/>
  <c r="J384" i="1"/>
  <c r="J357" i="1"/>
  <c r="J341" i="1"/>
  <c r="J326" i="1"/>
  <c r="J282" i="1"/>
  <c r="J267" i="1"/>
  <c r="J252" i="1"/>
  <c r="J237" i="1"/>
  <c r="J209" i="1"/>
  <c r="J192" i="1"/>
  <c r="J173" i="1"/>
  <c r="J157" i="1"/>
  <c r="J140" i="1"/>
  <c r="J113" i="1"/>
  <c r="J102" i="1"/>
  <c r="J518" i="1"/>
  <c r="J503" i="1"/>
  <c r="J487" i="1"/>
  <c r="J472" i="1"/>
  <c r="J456" i="1"/>
  <c r="J429" i="1"/>
  <c r="J414" i="1"/>
  <c r="J399" i="1"/>
  <c r="J356" i="1"/>
  <c r="J340" i="1"/>
  <c r="J325" i="1"/>
  <c r="J309" i="1"/>
  <c r="J293" i="1"/>
  <c r="J266" i="1"/>
  <c r="J251" i="1"/>
  <c r="J236" i="1"/>
  <c r="J220" i="1"/>
  <c r="J191" i="1"/>
  <c r="J172" i="1"/>
  <c r="J156" i="1"/>
  <c r="J139" i="1"/>
  <c r="J124" i="1"/>
  <c r="J103" i="1"/>
  <c r="J545" i="1"/>
  <c r="J529" i="1"/>
  <c r="J501" i="1"/>
  <c r="J486" i="1"/>
  <c r="J471" i="1"/>
  <c r="J428" i="1"/>
  <c r="J413" i="1"/>
  <c r="J398" i="1"/>
  <c r="J382" i="1"/>
  <c r="J355" i="1"/>
  <c r="J339" i="1"/>
  <c r="J324" i="1"/>
  <c r="J308" i="1"/>
  <c r="J265" i="1"/>
  <c r="J250" i="1"/>
  <c r="J235" i="1"/>
  <c r="J190" i="1"/>
  <c r="J171" i="1"/>
  <c r="J155" i="1"/>
  <c r="J138" i="1"/>
  <c r="J104" i="1"/>
  <c r="J544" i="1"/>
  <c r="J500" i="1"/>
  <c r="J485" i="1"/>
  <c r="J470" i="1"/>
  <c r="J454" i="1"/>
  <c r="J427" i="1"/>
  <c r="J412" i="1"/>
  <c r="J397" i="1"/>
  <c r="J381" i="1"/>
  <c r="J366" i="1"/>
  <c r="J338" i="1"/>
  <c r="J323" i="1"/>
  <c r="J307" i="1"/>
  <c r="J291" i="1"/>
  <c r="J264" i="1"/>
  <c r="J249" i="1"/>
  <c r="J234" i="1"/>
  <c r="J218" i="1"/>
  <c r="J201" i="1"/>
  <c r="J170" i="1"/>
  <c r="J154" i="1"/>
  <c r="J137" i="1"/>
  <c r="J122" i="1"/>
  <c r="J543" i="1"/>
  <c r="J527" i="1"/>
  <c r="J484" i="1"/>
  <c r="J469" i="1"/>
  <c r="J453" i="1"/>
  <c r="J438" i="1"/>
  <c r="J411" i="1"/>
  <c r="J396" i="1"/>
  <c r="J380" i="1"/>
  <c r="J337" i="1"/>
  <c r="J322" i="1"/>
  <c r="J306" i="1"/>
  <c r="J290" i="1"/>
  <c r="J275" i="1"/>
  <c r="J248" i="1"/>
  <c r="J233" i="1"/>
  <c r="J217" i="1"/>
  <c r="J169" i="1"/>
  <c r="J153" i="1"/>
  <c r="J136" i="1"/>
  <c r="J121" i="1"/>
  <c r="J542" i="1"/>
  <c r="J526" i="1"/>
  <c r="J511" i="1"/>
  <c r="J483" i="1"/>
  <c r="J468" i="1"/>
  <c r="J452" i="1"/>
  <c r="J410" i="1"/>
  <c r="J395" i="1"/>
  <c r="J379" i="1"/>
  <c r="J364" i="1"/>
  <c r="J336" i="1"/>
  <c r="J321" i="1"/>
  <c r="J305" i="1"/>
  <c r="J289" i="1"/>
  <c r="J247" i="1"/>
  <c r="J232" i="1"/>
  <c r="J541" i="1"/>
  <c r="J525" i="1"/>
  <c r="J482" i="1"/>
  <c r="J467" i="1"/>
  <c r="J451" i="1"/>
  <c r="J436" i="1"/>
  <c r="J409" i="1"/>
  <c r="J394" i="1"/>
  <c r="J378" i="1"/>
  <c r="J363" i="1"/>
  <c r="J347" i="1"/>
  <c r="J319" i="1"/>
  <c r="J304" i="1"/>
  <c r="J288" i="1"/>
  <c r="J273" i="1"/>
  <c r="J246" i="1"/>
  <c r="J231" i="1"/>
  <c r="J215" i="1"/>
  <c r="J198" i="1"/>
  <c r="J179" i="1"/>
  <c r="J151" i="1"/>
  <c r="J134" i="1"/>
  <c r="J540" i="1"/>
  <c r="J524" i="1"/>
  <c r="J509" i="1"/>
  <c r="J493" i="1"/>
  <c r="J466" i="1"/>
  <c r="J450" i="1"/>
  <c r="J435" i="1"/>
  <c r="J420" i="1"/>
  <c r="J392" i="1"/>
  <c r="J377" i="1"/>
  <c r="J362" i="1"/>
  <c r="J318" i="1"/>
  <c r="J303" i="1"/>
  <c r="J287" i="1"/>
  <c r="J272" i="1"/>
  <c r="J257" i="1"/>
  <c r="J230" i="1"/>
  <c r="J214" i="1"/>
  <c r="J197" i="1"/>
  <c r="J150" i="1"/>
  <c r="J133" i="1"/>
  <c r="J539" i="1"/>
  <c r="J523" i="1"/>
  <c r="J508" i="1"/>
  <c r="J465" i="1"/>
  <c r="J449" i="1"/>
  <c r="J434" i="1"/>
  <c r="J391" i="1"/>
  <c r="J376" i="1"/>
  <c r="J361" i="1"/>
  <c r="J345" i="1"/>
  <c r="J537" i="1"/>
  <c r="J522" i="1"/>
  <c r="J507" i="1"/>
  <c r="J491" i="1"/>
  <c r="J464" i="1"/>
  <c r="J448" i="1"/>
  <c r="J433" i="1"/>
  <c r="J418" i="1"/>
  <c r="J375" i="1"/>
  <c r="J360" i="1"/>
  <c r="J344" i="1"/>
  <c r="J475" i="1"/>
  <c r="J269" i="1"/>
  <c r="J212" i="1"/>
  <c r="J118" i="1"/>
  <c r="J211" i="1"/>
  <c r="J159" i="1"/>
  <c r="J117" i="1"/>
  <c r="J447" i="1"/>
  <c r="J255" i="1"/>
  <c r="J199" i="1"/>
  <c r="J152" i="1"/>
  <c r="J116" i="1"/>
  <c r="J432" i="1"/>
  <c r="J254" i="1"/>
  <c r="J196" i="1"/>
  <c r="J115" i="1"/>
  <c r="J119" i="1"/>
  <c r="J417" i="1"/>
  <c r="J301" i="1"/>
  <c r="J195" i="1"/>
  <c r="J106" i="1"/>
  <c r="J490" i="1"/>
  <c r="J402" i="1"/>
  <c r="J300" i="1"/>
  <c r="J194" i="1"/>
  <c r="J142" i="1"/>
  <c r="J96" i="1"/>
  <c r="J239" i="1"/>
  <c r="J135" i="1"/>
  <c r="J97" i="1"/>
  <c r="J270" i="1"/>
  <c r="J374" i="1"/>
  <c r="J286" i="1"/>
  <c r="J229" i="1"/>
  <c r="J177" i="1"/>
  <c r="J132" i="1"/>
  <c r="J98" i="1"/>
  <c r="J536" i="1"/>
  <c r="J359" i="1"/>
  <c r="J285" i="1"/>
  <c r="J228" i="1"/>
  <c r="J176" i="1"/>
  <c r="J131" i="1"/>
  <c r="J99" i="1"/>
  <c r="J329" i="1"/>
  <c r="J521" i="1"/>
  <c r="J343" i="1"/>
  <c r="J284" i="1"/>
  <c r="J175" i="1"/>
  <c r="J100" i="1"/>
  <c r="J213" i="1"/>
  <c r="J506" i="1"/>
  <c r="J271" i="1"/>
  <c r="J216" i="1"/>
  <c r="J168" i="1"/>
  <c r="J120" i="1"/>
  <c r="J95" i="1"/>
  <c r="BA5" i="3"/>
  <c r="K74" i="1"/>
  <c r="K92" i="1"/>
  <c r="J34" i="1"/>
  <c r="J36" i="1"/>
  <c r="J69" i="1"/>
  <c r="J53" i="1"/>
  <c r="J37" i="1"/>
  <c r="J20" i="1"/>
  <c r="J87" i="1"/>
  <c r="J18" i="1"/>
  <c r="J72" i="1"/>
  <c r="J54" i="1"/>
  <c r="J90" i="1"/>
  <c r="J71" i="1"/>
  <c r="J51" i="1"/>
  <c r="J89" i="1"/>
  <c r="K38" i="1"/>
  <c r="K21" i="1"/>
  <c r="K73" i="1"/>
  <c r="K91" i="1"/>
  <c r="K55" i="1"/>
  <c r="I73" i="1"/>
  <c r="I91" i="1"/>
  <c r="I55" i="1"/>
  <c r="J74" i="1"/>
  <c r="J92" i="1"/>
  <c r="I21" i="1"/>
  <c r="I38" i="1"/>
  <c r="BA8" i="3"/>
  <c r="BA3" i="3"/>
  <c r="K56" i="1"/>
  <c r="BD4" i="3"/>
  <c r="I68" i="1" s="1"/>
  <c r="I34" i="1"/>
  <c r="I20" i="1"/>
  <c r="I56" i="1"/>
  <c r="I36" i="1"/>
  <c r="I37" i="1"/>
  <c r="I18" i="1"/>
  <c r="I110" i="1"/>
  <c r="I206" i="1"/>
  <c r="I30" i="1"/>
  <c r="I15" i="1"/>
  <c r="I31" i="1"/>
  <c r="I16" i="1"/>
  <c r="I24" i="1"/>
  <c r="I25" i="1"/>
  <c r="I26" i="1"/>
  <c r="I11" i="1"/>
  <c r="I27" i="1"/>
  <c r="I10" i="1"/>
  <c r="I29" i="1"/>
  <c r="I32" i="1"/>
  <c r="I33" i="1"/>
  <c r="I35" i="1"/>
  <c r="I12" i="1"/>
  <c r="I13" i="1"/>
  <c r="I14" i="1"/>
  <c r="I17" i="1"/>
  <c r="I19" i="1"/>
  <c r="I28" i="1"/>
  <c r="M335" i="1" l="1"/>
  <c r="B22" i="9" s="1"/>
  <c r="M372" i="1"/>
  <c r="B18" i="9" s="1"/>
  <c r="M408" i="1"/>
  <c r="B17" i="9" s="1"/>
  <c r="M189" i="1"/>
  <c r="B12" i="9" s="1"/>
  <c r="M444" i="1"/>
  <c r="B21" i="9" s="1"/>
  <c r="M208" i="1"/>
  <c r="B26" i="9" s="1"/>
  <c r="M245" i="1"/>
  <c r="B27" i="9" s="1"/>
  <c r="M9" i="1"/>
  <c r="B8" i="9" s="1"/>
  <c r="G8" i="9" s="1"/>
  <c r="M76" i="1"/>
  <c r="M281" i="1"/>
  <c r="B16" i="9" s="1"/>
  <c r="M299" i="1"/>
  <c r="B28" i="9" s="1"/>
  <c r="M390" i="1"/>
  <c r="B31" i="9" s="1"/>
  <c r="M481" i="1"/>
  <c r="B19" i="9" s="1"/>
  <c r="M535" i="1"/>
  <c r="B29" i="9" s="1"/>
  <c r="M40" i="1"/>
  <c r="B9" i="9" s="1"/>
  <c r="C9" i="9" s="1"/>
  <c r="M227" i="1"/>
  <c r="B11" i="9" s="1"/>
  <c r="M499" i="1"/>
  <c r="B30" i="9" s="1"/>
  <c r="M354" i="1"/>
  <c r="B14" i="9" s="1"/>
  <c r="M112" i="1"/>
  <c r="B42" i="9" s="1"/>
  <c r="M149" i="1"/>
  <c r="B10" i="9" s="1"/>
  <c r="M517" i="1"/>
  <c r="B15" i="9" s="1"/>
  <c r="M94" i="1"/>
  <c r="B20" i="9" s="1"/>
  <c r="M426" i="1"/>
  <c r="B24" i="9" s="1"/>
  <c r="G32" i="9"/>
  <c r="F32" i="9"/>
  <c r="C32" i="9"/>
  <c r="H32" i="9"/>
  <c r="M167" i="1"/>
  <c r="B23" i="9" s="1"/>
  <c r="M58" i="1"/>
  <c r="B34" i="9" s="1"/>
  <c r="C34" i="9" s="1"/>
  <c r="M463" i="1"/>
  <c r="B13" i="9" s="1"/>
  <c r="M263" i="1"/>
  <c r="B25" i="9" s="1"/>
  <c r="M130" i="1"/>
  <c r="B37" i="9" s="1"/>
  <c r="B7" i="9"/>
  <c r="F7" i="9" s="1"/>
  <c r="B33" i="9"/>
  <c r="G33" i="9" s="1"/>
  <c r="J499" i="1"/>
  <c r="G516" i="1" s="1"/>
  <c r="D32" i="4" s="1"/>
  <c r="J481" i="1"/>
  <c r="G498" i="1" s="1"/>
  <c r="D31" i="4" s="1"/>
  <c r="J263" i="1"/>
  <c r="G280" i="1" s="1"/>
  <c r="D19" i="4" s="1"/>
  <c r="J372" i="1"/>
  <c r="G389" i="1" s="1"/>
  <c r="D25" i="4" s="1"/>
  <c r="K37" i="1"/>
  <c r="K69" i="1"/>
  <c r="K53" i="1"/>
  <c r="K20" i="1"/>
  <c r="K18" i="1"/>
  <c r="K87" i="1"/>
  <c r="K72" i="1"/>
  <c r="K36" i="1"/>
  <c r="K90" i="1"/>
  <c r="K71" i="1"/>
  <c r="K51" i="1"/>
  <c r="K89" i="1"/>
  <c r="K54" i="1"/>
  <c r="K34" i="1"/>
  <c r="J167" i="1"/>
  <c r="G184" i="1" s="1"/>
  <c r="D14" i="4" s="1"/>
  <c r="J130" i="1"/>
  <c r="G147" i="1" s="1"/>
  <c r="D12" i="4" s="1"/>
  <c r="J463" i="1"/>
  <c r="G480" i="1" s="1"/>
  <c r="D30" i="4" s="1"/>
  <c r="J317" i="1"/>
  <c r="G334" i="1" s="1"/>
  <c r="D22" i="4" s="1"/>
  <c r="J208" i="1"/>
  <c r="G225" i="1" s="1"/>
  <c r="D16" i="4" s="1"/>
  <c r="J444" i="1"/>
  <c r="G461" i="1" s="1"/>
  <c r="D29" i="4" s="1"/>
  <c r="J189" i="1"/>
  <c r="G207" i="1" s="1"/>
  <c r="D15" i="4" s="1"/>
  <c r="J390" i="1"/>
  <c r="G407" i="1" s="1"/>
  <c r="D26" i="4" s="1"/>
  <c r="K88" i="1"/>
  <c r="K84" i="1"/>
  <c r="K80" i="1"/>
  <c r="K65" i="1"/>
  <c r="K61" i="1"/>
  <c r="K33" i="1"/>
  <c r="K49" i="1"/>
  <c r="K45" i="1"/>
  <c r="K41" i="1"/>
  <c r="K24" i="1"/>
  <c r="K83" i="1"/>
  <c r="K79" i="1"/>
  <c r="K64" i="1"/>
  <c r="K60" i="1"/>
  <c r="K19" i="1"/>
  <c r="K68" i="1"/>
  <c r="K52" i="1"/>
  <c r="K48" i="1"/>
  <c r="K44" i="1"/>
  <c r="K25" i="1"/>
  <c r="K11" i="1"/>
  <c r="K32" i="1"/>
  <c r="K26" i="1"/>
  <c r="K12" i="1"/>
  <c r="K86" i="1"/>
  <c r="K82" i="1"/>
  <c r="K78" i="1"/>
  <c r="K67" i="1"/>
  <c r="K63" i="1"/>
  <c r="K59" i="1"/>
  <c r="K27" i="1"/>
  <c r="K13" i="1"/>
  <c r="K47" i="1"/>
  <c r="K43" i="1"/>
  <c r="K28" i="1"/>
  <c r="K14" i="1"/>
  <c r="K29" i="1"/>
  <c r="K15" i="1"/>
  <c r="K85" i="1"/>
  <c r="K81" i="1"/>
  <c r="K77" i="1"/>
  <c r="K66" i="1"/>
  <c r="K62" i="1"/>
  <c r="K30" i="1"/>
  <c r="K35" i="1"/>
  <c r="K16" i="1"/>
  <c r="K70" i="1"/>
  <c r="K50" i="1"/>
  <c r="K46" i="1"/>
  <c r="K42" i="1"/>
  <c r="K31" i="1"/>
  <c r="K17" i="1"/>
  <c r="K10" i="1"/>
  <c r="K541" i="1"/>
  <c r="K526" i="1"/>
  <c r="K511" i="1"/>
  <c r="K483" i="1"/>
  <c r="K468" i="1"/>
  <c r="K452" i="1"/>
  <c r="K410" i="1"/>
  <c r="K395" i="1"/>
  <c r="K379" i="1"/>
  <c r="K364" i="1"/>
  <c r="K336" i="1"/>
  <c r="K321" i="1"/>
  <c r="K305" i="1"/>
  <c r="K289" i="1"/>
  <c r="K247" i="1"/>
  <c r="K232" i="1"/>
  <c r="K216" i="1"/>
  <c r="K199" i="1"/>
  <c r="K168" i="1"/>
  <c r="K152" i="1"/>
  <c r="K135" i="1"/>
  <c r="K120" i="1"/>
  <c r="K96" i="1"/>
  <c r="K540" i="1"/>
  <c r="K525" i="1"/>
  <c r="K482" i="1"/>
  <c r="K467" i="1"/>
  <c r="K451" i="1"/>
  <c r="K436" i="1"/>
  <c r="K409" i="1"/>
  <c r="K394" i="1"/>
  <c r="K378" i="1"/>
  <c r="K363" i="1"/>
  <c r="K347" i="1"/>
  <c r="K319" i="1"/>
  <c r="K304" i="1"/>
  <c r="K288" i="1"/>
  <c r="K273" i="1"/>
  <c r="K246" i="1"/>
  <c r="K231" i="1"/>
  <c r="K215" i="1"/>
  <c r="K198" i="1"/>
  <c r="K179" i="1"/>
  <c r="K151" i="1"/>
  <c r="K134" i="1"/>
  <c r="K119" i="1"/>
  <c r="K97" i="1"/>
  <c r="K302" i="1"/>
  <c r="K539" i="1"/>
  <c r="K524" i="1"/>
  <c r="K509" i="1"/>
  <c r="K493" i="1"/>
  <c r="K466" i="1"/>
  <c r="K450" i="1"/>
  <c r="K435" i="1"/>
  <c r="K420" i="1"/>
  <c r="K392" i="1"/>
  <c r="K377" i="1"/>
  <c r="K362" i="1"/>
  <c r="K318" i="1"/>
  <c r="K303" i="1"/>
  <c r="K287" i="1"/>
  <c r="K272" i="1"/>
  <c r="K257" i="1"/>
  <c r="K230" i="1"/>
  <c r="K214" i="1"/>
  <c r="K197" i="1"/>
  <c r="K150" i="1"/>
  <c r="K133" i="1"/>
  <c r="K118" i="1"/>
  <c r="K98" i="1"/>
  <c r="K538" i="1"/>
  <c r="K523" i="1"/>
  <c r="K508" i="1"/>
  <c r="K465" i="1"/>
  <c r="K449" i="1"/>
  <c r="K434" i="1"/>
  <c r="K391" i="1"/>
  <c r="K376" i="1"/>
  <c r="K361" i="1"/>
  <c r="K345" i="1"/>
  <c r="K301" i="1"/>
  <c r="K286" i="1"/>
  <c r="K271" i="1"/>
  <c r="K229" i="1"/>
  <c r="K213" i="1"/>
  <c r="K196" i="1"/>
  <c r="K177" i="1"/>
  <c r="K132" i="1"/>
  <c r="K117" i="1"/>
  <c r="K99" i="1"/>
  <c r="K537" i="1"/>
  <c r="K522" i="1"/>
  <c r="K507" i="1"/>
  <c r="K491" i="1"/>
  <c r="K464" i="1"/>
  <c r="K448" i="1"/>
  <c r="K433" i="1"/>
  <c r="K418" i="1"/>
  <c r="K375" i="1"/>
  <c r="K360" i="1"/>
  <c r="K344" i="1"/>
  <c r="K329" i="1"/>
  <c r="K300" i="1"/>
  <c r="K285" i="1"/>
  <c r="K270" i="1"/>
  <c r="K255" i="1"/>
  <c r="K228" i="1"/>
  <c r="K212" i="1"/>
  <c r="K195" i="1"/>
  <c r="K176" i="1"/>
  <c r="K131" i="1"/>
  <c r="K116" i="1"/>
  <c r="K100" i="1"/>
  <c r="K320" i="1"/>
  <c r="K536" i="1"/>
  <c r="K521" i="1"/>
  <c r="K506" i="1"/>
  <c r="K490" i="1"/>
  <c r="K475" i="1"/>
  <c r="K447" i="1"/>
  <c r="K432" i="1"/>
  <c r="K417" i="1"/>
  <c r="K402" i="1"/>
  <c r="K374" i="1"/>
  <c r="K359" i="1"/>
  <c r="K343" i="1"/>
  <c r="K284" i="1"/>
  <c r="K269" i="1"/>
  <c r="K254" i="1"/>
  <c r="K239" i="1"/>
  <c r="K211" i="1"/>
  <c r="K194" i="1"/>
  <c r="K175" i="1"/>
  <c r="K159" i="1"/>
  <c r="K142" i="1"/>
  <c r="K115" i="1"/>
  <c r="K101" i="1"/>
  <c r="K547" i="1"/>
  <c r="K520" i="1"/>
  <c r="K505" i="1"/>
  <c r="K489" i="1"/>
  <c r="K446" i="1"/>
  <c r="K431" i="1"/>
  <c r="K416" i="1"/>
  <c r="K373" i="1"/>
  <c r="K358" i="1"/>
  <c r="K342" i="1"/>
  <c r="K327" i="1"/>
  <c r="K311" i="1"/>
  <c r="K283" i="1"/>
  <c r="K268" i="1"/>
  <c r="K253" i="1"/>
  <c r="K210" i="1"/>
  <c r="K193" i="1"/>
  <c r="K174" i="1"/>
  <c r="K158" i="1"/>
  <c r="K114" i="1"/>
  <c r="K102" i="1"/>
  <c r="K519" i="1"/>
  <c r="K504" i="1"/>
  <c r="K488" i="1"/>
  <c r="K473" i="1"/>
  <c r="K445" i="1"/>
  <c r="K430" i="1"/>
  <c r="K415" i="1"/>
  <c r="K400" i="1"/>
  <c r="K384" i="1"/>
  <c r="K357" i="1"/>
  <c r="K341" i="1"/>
  <c r="K326" i="1"/>
  <c r="K282" i="1"/>
  <c r="K267" i="1"/>
  <c r="K252" i="1"/>
  <c r="K237" i="1"/>
  <c r="K209" i="1"/>
  <c r="K192" i="1"/>
  <c r="K173" i="1"/>
  <c r="K157" i="1"/>
  <c r="K140" i="1"/>
  <c r="K113" i="1"/>
  <c r="K103" i="1"/>
  <c r="K393" i="1"/>
  <c r="K545" i="1"/>
  <c r="K518" i="1"/>
  <c r="K503" i="1"/>
  <c r="K487" i="1"/>
  <c r="K472" i="1"/>
  <c r="K456" i="1"/>
  <c r="K429" i="1"/>
  <c r="K414" i="1"/>
  <c r="K399" i="1"/>
  <c r="K356" i="1"/>
  <c r="K340" i="1"/>
  <c r="K325" i="1"/>
  <c r="K309" i="1"/>
  <c r="K293" i="1"/>
  <c r="K266" i="1"/>
  <c r="K251" i="1"/>
  <c r="K236" i="1"/>
  <c r="K220" i="1"/>
  <c r="K191" i="1"/>
  <c r="K172" i="1"/>
  <c r="K156" i="1"/>
  <c r="K139" i="1"/>
  <c r="K124" i="1"/>
  <c r="K104" i="1"/>
  <c r="K544" i="1"/>
  <c r="K529" i="1"/>
  <c r="K501" i="1"/>
  <c r="K486" i="1"/>
  <c r="K471" i="1"/>
  <c r="K428" i="1"/>
  <c r="K413" i="1"/>
  <c r="K398" i="1"/>
  <c r="K382" i="1"/>
  <c r="K355" i="1"/>
  <c r="K339" i="1"/>
  <c r="K324" i="1"/>
  <c r="K308" i="1"/>
  <c r="K265" i="1"/>
  <c r="K250" i="1"/>
  <c r="K235" i="1"/>
  <c r="K190" i="1"/>
  <c r="K171" i="1"/>
  <c r="K155" i="1"/>
  <c r="K138" i="1"/>
  <c r="K95" i="1"/>
  <c r="K543" i="1"/>
  <c r="K500" i="1"/>
  <c r="K485" i="1"/>
  <c r="K470" i="1"/>
  <c r="K454" i="1"/>
  <c r="K427" i="1"/>
  <c r="K412" i="1"/>
  <c r="K397" i="1"/>
  <c r="K381" i="1"/>
  <c r="K366" i="1"/>
  <c r="K338" i="1"/>
  <c r="K323" i="1"/>
  <c r="K307" i="1"/>
  <c r="K291" i="1"/>
  <c r="K264" i="1"/>
  <c r="K249" i="1"/>
  <c r="K234" i="1"/>
  <c r="K218" i="1"/>
  <c r="K201" i="1"/>
  <c r="K170" i="1"/>
  <c r="K154" i="1"/>
  <c r="K137" i="1"/>
  <c r="K122" i="1"/>
  <c r="K502" i="1"/>
  <c r="K380" i="1"/>
  <c r="K161" i="1"/>
  <c r="K542" i="1"/>
  <c r="K527" i="1"/>
  <c r="K169" i="1"/>
  <c r="K217" i="1"/>
  <c r="K337" i="1"/>
  <c r="K153" i="1"/>
  <c r="K322" i="1"/>
  <c r="K136" i="1"/>
  <c r="K484" i="1"/>
  <c r="K306" i="1"/>
  <c r="K121" i="1"/>
  <c r="K469" i="1"/>
  <c r="K290" i="1"/>
  <c r="K106" i="1"/>
  <c r="K453" i="1"/>
  <c r="K275" i="1"/>
  <c r="K396" i="1"/>
  <c r="K438" i="1"/>
  <c r="K248" i="1"/>
  <c r="K411" i="1"/>
  <c r="K233" i="1"/>
  <c r="J408" i="1"/>
  <c r="G425" i="1" s="1"/>
  <c r="D27" i="4" s="1"/>
  <c r="J335" i="1"/>
  <c r="G352" i="1" s="1"/>
  <c r="D23" i="4" s="1"/>
  <c r="J149" i="1"/>
  <c r="G166" i="1" s="1"/>
  <c r="D13" i="4" s="1"/>
  <c r="J426" i="1"/>
  <c r="G443" i="1" s="1"/>
  <c r="D28" i="4" s="1"/>
  <c r="J281" i="1"/>
  <c r="G298" i="1" s="1"/>
  <c r="D20" i="4" s="1"/>
  <c r="J535" i="1"/>
  <c r="G552" i="1" s="1"/>
  <c r="J227" i="1"/>
  <c r="G244" i="1" s="1"/>
  <c r="D17" i="4" s="1"/>
  <c r="J517" i="1"/>
  <c r="G534" i="1" s="1"/>
  <c r="D33" i="4" s="1"/>
  <c r="J354" i="1"/>
  <c r="G371" i="1" s="1"/>
  <c r="D24" i="4" s="1"/>
  <c r="J299" i="1"/>
  <c r="G316" i="1" s="1"/>
  <c r="D21" i="4" s="1"/>
  <c r="J245" i="1"/>
  <c r="G262" i="1" s="1"/>
  <c r="D18" i="4" s="1"/>
  <c r="J94" i="1"/>
  <c r="G111" i="1" s="1"/>
  <c r="D10" i="4" s="1"/>
  <c r="J9" i="1"/>
  <c r="G22" i="1" s="1"/>
  <c r="D5" i="4" s="1"/>
  <c r="J112" i="1"/>
  <c r="G129" i="1" s="1"/>
  <c r="D11" i="4" s="1"/>
  <c r="J23" i="1"/>
  <c r="G39" i="1" s="1"/>
  <c r="D6" i="4" s="1"/>
  <c r="J76" i="1"/>
  <c r="G93" i="1" s="1"/>
  <c r="D9" i="4" s="1"/>
  <c r="J58" i="1"/>
  <c r="G75" i="1" s="1"/>
  <c r="D8" i="4" s="1"/>
  <c r="J40" i="1"/>
  <c r="G57" i="1" s="1"/>
  <c r="D7" i="4" s="1"/>
  <c r="I9" i="1"/>
  <c r="I8" i="9" s="1"/>
  <c r="I299" i="1"/>
  <c r="I28" i="9" s="1"/>
  <c r="I189" i="1"/>
  <c r="I317" i="1"/>
  <c r="I481" i="1"/>
  <c r="I208" i="1"/>
  <c r="I26" i="9" s="1"/>
  <c r="I245" i="1"/>
  <c r="I27" i="9" s="1"/>
  <c r="I281" i="1"/>
  <c r="I16" i="9" s="1"/>
  <c r="I263" i="1"/>
  <c r="I25" i="9" s="1"/>
  <c r="I167" i="1"/>
  <c r="I23" i="9" s="1"/>
  <c r="I149" i="1"/>
  <c r="I10" i="9" s="1"/>
  <c r="I444" i="1"/>
  <c r="I21" i="9" s="1"/>
  <c r="I40" i="1"/>
  <c r="I535" i="1"/>
  <c r="I29" i="9" s="1"/>
  <c r="I390" i="1"/>
  <c r="I31" i="9" s="1"/>
  <c r="I58" i="1"/>
  <c r="I426" i="1"/>
  <c r="I24" i="9" s="1"/>
  <c r="I335" i="1"/>
  <c r="I22" i="9" s="1"/>
  <c r="I94" i="1"/>
  <c r="I20" i="9" s="1"/>
  <c r="I517" i="1"/>
  <c r="I15" i="9" s="1"/>
  <c r="I130" i="1"/>
  <c r="I37" i="9" s="1"/>
  <c r="I112" i="1"/>
  <c r="I463" i="1"/>
  <c r="I13" i="9" s="1"/>
  <c r="I354" i="1"/>
  <c r="I14" i="9" s="1"/>
  <c r="I23" i="1"/>
  <c r="I408" i="1"/>
  <c r="I17" i="9" s="1"/>
  <c r="I76" i="1"/>
  <c r="I372" i="1"/>
  <c r="I18" i="9" s="1"/>
  <c r="I227" i="1"/>
  <c r="I11" i="9" s="1"/>
  <c r="I499" i="1"/>
  <c r="I30" i="9" s="1"/>
  <c r="C24" i="9" l="1"/>
  <c r="H24" i="9"/>
  <c r="G24" i="9"/>
  <c r="F24" i="9"/>
  <c r="F13" i="9"/>
  <c r="C13" i="9"/>
  <c r="H13" i="9"/>
  <c r="G13" i="9"/>
  <c r="G20" i="9"/>
  <c r="C20" i="9"/>
  <c r="F20" i="9"/>
  <c r="H20" i="9"/>
  <c r="F29" i="9"/>
  <c r="G29" i="9"/>
  <c r="C29" i="9"/>
  <c r="H29" i="9"/>
  <c r="C26" i="9"/>
  <c r="G26" i="9"/>
  <c r="H26" i="9"/>
  <c r="F26" i="9"/>
  <c r="C11" i="9"/>
  <c r="G11" i="9"/>
  <c r="H11" i="9"/>
  <c r="F11" i="9"/>
  <c r="D34" i="4"/>
  <c r="G555" i="1"/>
  <c r="F15" i="9"/>
  <c r="G15" i="9"/>
  <c r="C15" i="9"/>
  <c r="H15" i="9"/>
  <c r="C19" i="9"/>
  <c r="G19" i="9"/>
  <c r="H19" i="9"/>
  <c r="F19" i="9"/>
  <c r="C21" i="9"/>
  <c r="H21" i="9"/>
  <c r="F21" i="9"/>
  <c r="G21" i="9"/>
  <c r="F37" i="9"/>
  <c r="C37" i="9"/>
  <c r="G37" i="9"/>
  <c r="H37" i="9"/>
  <c r="C23" i="9"/>
  <c r="G23" i="9"/>
  <c r="H23" i="9"/>
  <c r="F23" i="9"/>
  <c r="F10" i="9"/>
  <c r="C10" i="9"/>
  <c r="G10" i="9"/>
  <c r="H10" i="9"/>
  <c r="F31" i="9"/>
  <c r="G31" i="9"/>
  <c r="C31" i="9"/>
  <c r="H31" i="9"/>
  <c r="F12" i="9"/>
  <c r="H12" i="9"/>
  <c r="C12" i="9"/>
  <c r="G12" i="9"/>
  <c r="C25" i="9"/>
  <c r="H25" i="9"/>
  <c r="G25" i="9"/>
  <c r="F25" i="9"/>
  <c r="C42" i="9"/>
  <c r="G42" i="9"/>
  <c r="F42" i="9"/>
  <c r="H42" i="9"/>
  <c r="G28" i="9"/>
  <c r="C28" i="9"/>
  <c r="F28" i="9"/>
  <c r="H28" i="9"/>
  <c r="F17" i="9"/>
  <c r="G17" i="9"/>
  <c r="C17" i="9"/>
  <c r="H17" i="9"/>
  <c r="C27" i="9"/>
  <c r="F27" i="9"/>
  <c r="H27" i="9"/>
  <c r="G27" i="9"/>
  <c r="C14" i="9"/>
  <c r="G14" i="9"/>
  <c r="F14" i="9"/>
  <c r="H14" i="9"/>
  <c r="G16" i="9"/>
  <c r="H16" i="9"/>
  <c r="F16" i="9"/>
  <c r="C16" i="9"/>
  <c r="C18" i="9"/>
  <c r="H18" i="9"/>
  <c r="G18" i="9"/>
  <c r="F18" i="9"/>
  <c r="F30" i="9"/>
  <c r="G30" i="9"/>
  <c r="C30" i="9"/>
  <c r="H30" i="9"/>
  <c r="C22" i="9"/>
  <c r="H22" i="9"/>
  <c r="G22" i="9"/>
  <c r="F22" i="9"/>
  <c r="K9" i="1"/>
  <c r="H22" i="1" s="1"/>
  <c r="E5" i="4" s="1"/>
  <c r="D35" i="4"/>
  <c r="G7" i="9"/>
  <c r="F498" i="1"/>
  <c r="I19" i="9"/>
  <c r="F334" i="1"/>
  <c r="C22" i="4" s="1"/>
  <c r="I32" i="9"/>
  <c r="F207" i="1"/>
  <c r="C15" i="4" s="1"/>
  <c r="I12" i="9"/>
  <c r="H8" i="9"/>
  <c r="C8" i="9"/>
  <c r="H9" i="9"/>
  <c r="F9" i="9"/>
  <c r="G9" i="9"/>
  <c r="C7" i="9"/>
  <c r="H7" i="9"/>
  <c r="C33" i="9"/>
  <c r="H33" i="9"/>
  <c r="F33" i="9"/>
  <c r="H34" i="9"/>
  <c r="G34" i="9"/>
  <c r="F34" i="9"/>
  <c r="F8" i="9"/>
  <c r="K76" i="1"/>
  <c r="H93" i="1" s="1"/>
  <c r="E9" i="4" s="1"/>
  <c r="F9" i="4" s="1"/>
  <c r="K189" i="1"/>
  <c r="H207" i="1" s="1"/>
  <c r="E15" i="4" s="1"/>
  <c r="F15" i="4" s="1"/>
  <c r="K208" i="1"/>
  <c r="H225" i="1" s="1"/>
  <c r="E16" i="4" s="1"/>
  <c r="F16" i="4" s="1"/>
  <c r="K444" i="1"/>
  <c r="H461" i="1" s="1"/>
  <c r="E29" i="4" s="1"/>
  <c r="F29" i="4" s="1"/>
  <c r="K535" i="1"/>
  <c r="H552" i="1" s="1"/>
  <c r="K299" i="1"/>
  <c r="H316" i="1" s="1"/>
  <c r="E21" i="4" s="1"/>
  <c r="F21" i="4" s="1"/>
  <c r="K40" i="1"/>
  <c r="H57" i="1" s="1"/>
  <c r="E7" i="4" s="1"/>
  <c r="F7" i="4" s="1"/>
  <c r="K58" i="1"/>
  <c r="H75" i="1" s="1"/>
  <c r="E8" i="4" s="1"/>
  <c r="F8" i="4" s="1"/>
  <c r="K23" i="1"/>
  <c r="H39" i="1" s="1"/>
  <c r="E6" i="4" s="1"/>
  <c r="F6" i="4" s="1"/>
  <c r="F57" i="1"/>
  <c r="C7" i="4" s="1"/>
  <c r="I9" i="9"/>
  <c r="K426" i="1"/>
  <c r="H443" i="1" s="1"/>
  <c r="E28" i="4" s="1"/>
  <c r="F28" i="4" s="1"/>
  <c r="K390" i="1"/>
  <c r="H407" i="1" s="1"/>
  <c r="E26" i="4" s="1"/>
  <c r="F26" i="4" s="1"/>
  <c r="K408" i="1"/>
  <c r="H425" i="1" s="1"/>
  <c r="E27" i="4" s="1"/>
  <c r="F27" i="4" s="1"/>
  <c r="F129" i="1"/>
  <c r="C11" i="4" s="1"/>
  <c r="I42" i="9"/>
  <c r="K517" i="1"/>
  <c r="H534" i="1" s="1"/>
  <c r="E33" i="4" s="1"/>
  <c r="F33" i="4" s="1"/>
  <c r="K354" i="1"/>
  <c r="H371" i="1" s="1"/>
  <c r="E24" i="4" s="1"/>
  <c r="F24" i="4" s="1"/>
  <c r="K281" i="1"/>
  <c r="H298" i="1" s="1"/>
  <c r="E20" i="4" s="1"/>
  <c r="F20" i="4" s="1"/>
  <c r="K130" i="1"/>
  <c r="H147" i="1" s="1"/>
  <c r="E12" i="4" s="1"/>
  <c r="F12" i="4" s="1"/>
  <c r="K227" i="1"/>
  <c r="H244" i="1" s="1"/>
  <c r="E17" i="4" s="1"/>
  <c r="F17" i="4" s="1"/>
  <c r="K149" i="1"/>
  <c r="H166" i="1" s="1"/>
  <c r="E13" i="4" s="1"/>
  <c r="F13" i="4" s="1"/>
  <c r="K263" i="1"/>
  <c r="H280" i="1" s="1"/>
  <c r="E19" i="4" s="1"/>
  <c r="F19" i="4" s="1"/>
  <c r="K245" i="1"/>
  <c r="H262" i="1" s="1"/>
  <c r="E18" i="4" s="1"/>
  <c r="F18" i="4" s="1"/>
  <c r="K499" i="1"/>
  <c r="H516" i="1" s="1"/>
  <c r="E32" i="4" s="1"/>
  <c r="F32" i="4" s="1"/>
  <c r="K372" i="1"/>
  <c r="H389" i="1" s="1"/>
  <c r="E25" i="4" s="1"/>
  <c r="F25" i="4" s="1"/>
  <c r="K481" i="1"/>
  <c r="H498" i="1" s="1"/>
  <c r="E31" i="4" s="1"/>
  <c r="F31" i="4" s="1"/>
  <c r="F39" i="1"/>
  <c r="C6" i="4" s="1"/>
  <c r="I7" i="9"/>
  <c r="K112" i="1"/>
  <c r="H129" i="1" s="1"/>
  <c r="E11" i="4" s="1"/>
  <c r="F11" i="4" s="1"/>
  <c r="K94" i="1"/>
  <c r="H111" i="1" s="1"/>
  <c r="E10" i="4" s="1"/>
  <c r="F10" i="4" s="1"/>
  <c r="K463" i="1"/>
  <c r="H480" i="1" s="1"/>
  <c r="E30" i="4" s="1"/>
  <c r="F30" i="4" s="1"/>
  <c r="K317" i="1"/>
  <c r="H334" i="1" s="1"/>
  <c r="E22" i="4" s="1"/>
  <c r="F22" i="4" s="1"/>
  <c r="F75" i="1"/>
  <c r="I34" i="9"/>
  <c r="K335" i="1"/>
  <c r="H352" i="1" s="1"/>
  <c r="E23" i="4" s="1"/>
  <c r="F23" i="4" s="1"/>
  <c r="K167" i="1"/>
  <c r="H184" i="1" s="1"/>
  <c r="E14" i="4" s="1"/>
  <c r="F14" i="4" s="1"/>
  <c r="F93" i="1"/>
  <c r="C9" i="4" s="1"/>
  <c r="I33" i="9"/>
  <c r="F22" i="1"/>
  <c r="E22" i="1" s="1"/>
  <c r="B5" i="4" s="1"/>
  <c r="F5" i="4"/>
  <c r="C31" i="4"/>
  <c r="L535" i="1"/>
  <c r="F552" i="1"/>
  <c r="F534" i="1"/>
  <c r="F516" i="1"/>
  <c r="F480" i="1"/>
  <c r="L444" i="1"/>
  <c r="F461" i="1"/>
  <c r="F443" i="1"/>
  <c r="F425" i="1"/>
  <c r="F407" i="1"/>
  <c r="F389" i="1"/>
  <c r="F371" i="1"/>
  <c r="F352" i="1"/>
  <c r="L299" i="1"/>
  <c r="F316" i="1"/>
  <c r="F298" i="1"/>
  <c r="F280" i="1"/>
  <c r="F262" i="1"/>
  <c r="F244" i="1"/>
  <c r="F225" i="1"/>
  <c r="F184" i="1"/>
  <c r="F166" i="1"/>
  <c r="F147" i="1"/>
  <c r="F111" i="1"/>
  <c r="L9" i="1"/>
  <c r="E34" i="4" l="1"/>
  <c r="F34" i="4" s="1"/>
  <c r="H555" i="1"/>
  <c r="I555" i="1" s="1"/>
  <c r="F555" i="1"/>
  <c r="L94" i="1"/>
  <c r="L76" i="1"/>
  <c r="F35" i="4"/>
  <c r="E35" i="4"/>
  <c r="L189" i="1"/>
  <c r="E207" i="1"/>
  <c r="B15" i="4" s="1"/>
  <c r="L281" i="1"/>
  <c r="L208" i="1"/>
  <c r="L167" i="1"/>
  <c r="L58" i="1"/>
  <c r="L408" i="1"/>
  <c r="E75" i="1"/>
  <c r="B8" i="4" s="1"/>
  <c r="L130" i="1"/>
  <c r="L517" i="1"/>
  <c r="L40" i="1"/>
  <c r="L354" i="1"/>
  <c r="E57" i="1"/>
  <c r="B7" i="4" s="1"/>
  <c r="L227" i="1"/>
  <c r="L317" i="1"/>
  <c r="L245" i="1"/>
  <c r="E334" i="1"/>
  <c r="B22" i="4" s="1"/>
  <c r="C5" i="4"/>
  <c r="L426" i="1"/>
  <c r="L23" i="1"/>
  <c r="L463" i="1"/>
  <c r="L112" i="1"/>
  <c r="E129" i="1"/>
  <c r="B11" i="4" s="1"/>
  <c r="E39" i="1"/>
  <c r="B6" i="4" s="1"/>
  <c r="E93" i="1"/>
  <c r="B9" i="4" s="1"/>
  <c r="L499" i="1"/>
  <c r="L481" i="1"/>
  <c r="E498" i="1"/>
  <c r="B31" i="4" s="1"/>
  <c r="L335" i="1"/>
  <c r="L263" i="1"/>
  <c r="L390" i="1"/>
  <c r="C8" i="4"/>
  <c r="L372" i="1"/>
  <c r="L149" i="1"/>
  <c r="E184" i="1"/>
  <c r="B14" i="4" s="1"/>
  <c r="C14" i="4"/>
  <c r="E316" i="1"/>
  <c r="B21" i="4" s="1"/>
  <c r="C21" i="4"/>
  <c r="E461" i="1"/>
  <c r="B29" i="4" s="1"/>
  <c r="C29" i="4"/>
  <c r="E244" i="1"/>
  <c r="B17" i="4" s="1"/>
  <c r="C17" i="4"/>
  <c r="E516" i="1"/>
  <c r="B32" i="4" s="1"/>
  <c r="C32" i="4"/>
  <c r="E443" i="1"/>
  <c r="B28" i="4" s="1"/>
  <c r="C28" i="4"/>
  <c r="E111" i="1"/>
  <c r="B10" i="4" s="1"/>
  <c r="C10" i="4"/>
  <c r="E480" i="1"/>
  <c r="B30" i="4" s="1"/>
  <c r="C30" i="4"/>
  <c r="E534" i="1"/>
  <c r="B33" i="4" s="1"/>
  <c r="C33" i="4"/>
  <c r="E352" i="1"/>
  <c r="B23" i="4" s="1"/>
  <c r="C23" i="4"/>
  <c r="E371" i="1"/>
  <c r="B24" i="4" s="1"/>
  <c r="C24" i="4"/>
  <c r="E262" i="1"/>
  <c r="B18" i="4" s="1"/>
  <c r="C18" i="4"/>
  <c r="E147" i="1"/>
  <c r="B12" i="4" s="1"/>
  <c r="C12" i="4"/>
  <c r="E407" i="1"/>
  <c r="B26" i="4" s="1"/>
  <c r="C26" i="4"/>
  <c r="E166" i="1"/>
  <c r="B13" i="4" s="1"/>
  <c r="C13" i="4"/>
  <c r="E225" i="1"/>
  <c r="B16" i="4" s="1"/>
  <c r="C16" i="4"/>
  <c r="E389" i="1"/>
  <c r="B25" i="4" s="1"/>
  <c r="C25" i="4"/>
  <c r="E280" i="1"/>
  <c r="B19" i="4" s="1"/>
  <c r="C19" i="4"/>
  <c r="E298" i="1"/>
  <c r="B20" i="4" s="1"/>
  <c r="C20" i="4"/>
  <c r="E425" i="1"/>
  <c r="B27" i="4" s="1"/>
  <c r="C27" i="4"/>
  <c r="E552" i="1"/>
  <c r="C34" i="4"/>
  <c r="B34" i="4" l="1"/>
  <c r="E555" i="1"/>
  <c r="B35" i="4"/>
  <c r="C35" i="4"/>
</calcChain>
</file>

<file path=xl/sharedStrings.xml><?xml version="1.0" encoding="utf-8"?>
<sst xmlns="http://schemas.openxmlformats.org/spreadsheetml/2006/main" count="1666" uniqueCount="331">
  <si>
    <t>Veselības aprūpes pakalpojumi pa plānošans reģionu teritorijām*</t>
  </si>
  <si>
    <t>Līmenis</t>
  </si>
  <si>
    <t>Nosaukums</t>
  </si>
  <si>
    <t>Esošie veselības aprūpes pakalpojumu profili</t>
  </si>
  <si>
    <t>Turpmāk sniegtie pakalpojumi</t>
  </si>
  <si>
    <t>Rīgas plānošanas reģions</t>
  </si>
  <si>
    <t>Rīgas Austrumu klīniskā universitātes slimnīca</t>
  </si>
  <si>
    <t>Terapija</t>
  </si>
  <si>
    <t>Internā medicīna</t>
  </si>
  <si>
    <t>Hronisko pacientu aprūpe (izvēles)</t>
  </si>
  <si>
    <t>Aprūpe</t>
  </si>
  <si>
    <t>Ķirurģija</t>
  </si>
  <si>
    <t>Ginekoloģija</t>
  </si>
  <si>
    <t>Traumatoloģija, ortopēdija</t>
  </si>
  <si>
    <t>Grūtnieču patoloģija</t>
  </si>
  <si>
    <t>Insulta vienība</t>
  </si>
  <si>
    <t>Specializētā un terciārā palīdzība</t>
  </si>
  <si>
    <t>Paula Stradiņa klīniskā universitātes slimnīca</t>
  </si>
  <si>
    <t xml:space="preserve">Internā medicīna </t>
  </si>
  <si>
    <t>Grūtniecības un dzmedību aprūpe</t>
  </si>
  <si>
    <t>Bērnu klīniskā universitātes slimnīca</t>
  </si>
  <si>
    <t>Pediatrija</t>
  </si>
  <si>
    <t>Specializētā un terciārā palīdzība bērniem</t>
  </si>
  <si>
    <t>Jūrmalas slimnīca</t>
  </si>
  <si>
    <t xml:space="preserve">Ķirurģija </t>
  </si>
  <si>
    <t xml:space="preserve">Ginekoloģija </t>
  </si>
  <si>
    <t>Grūtniecības un dzemdību aprūpe</t>
  </si>
  <si>
    <t>Neiroloģija ( izvēles)</t>
  </si>
  <si>
    <t>Siguldas slimnīca</t>
  </si>
  <si>
    <t>Kurzemes plānošanas reģions</t>
  </si>
  <si>
    <t>Liepājas reģionālā slimnīca</t>
  </si>
  <si>
    <t>Specializētā palīdzība</t>
  </si>
  <si>
    <t>Kuldīgas slimnīca</t>
  </si>
  <si>
    <t xml:space="preserve">Pediatrija </t>
  </si>
  <si>
    <t>Pārējās</t>
  </si>
  <si>
    <t>Saldus medīcinas centrs</t>
  </si>
  <si>
    <t>Priekules slimnīca</t>
  </si>
  <si>
    <t>Pediarija</t>
  </si>
  <si>
    <t>Tukuma slimnīca</t>
  </si>
  <si>
    <t>Latgales plānošanas reģions</t>
  </si>
  <si>
    <t>Daugavpils reģionālā slimnīca</t>
  </si>
  <si>
    <t>Krāslavas slimnīca</t>
  </si>
  <si>
    <t>Preiļu slimnīca</t>
  </si>
  <si>
    <t>Rēzeknes slimnīca</t>
  </si>
  <si>
    <t>Līvānu slimnīca</t>
  </si>
  <si>
    <t>Ludzas slimnīca</t>
  </si>
  <si>
    <t>Balvu un Gulbenes slimnīcu apvienība</t>
  </si>
  <si>
    <t>Traumatoloģija, ortopēdija (izvēles)</t>
  </si>
  <si>
    <t>Vidzemes plānošanas reģions</t>
  </si>
  <si>
    <t>Vidzemes slimnīca</t>
  </si>
  <si>
    <t>Cēsu klīnika</t>
  </si>
  <si>
    <t>Limbažu slimnīca</t>
  </si>
  <si>
    <t>Madonas slimnīca</t>
  </si>
  <si>
    <t xml:space="preserve">Traumatoloģija, ortopēdija </t>
  </si>
  <si>
    <t>Alūksnes slimnīca</t>
  </si>
  <si>
    <t>Ogres rajona slimnīca</t>
  </si>
  <si>
    <t>Zemgales plānošanas reģions</t>
  </si>
  <si>
    <t>Jelgavas pilsētas slimnīca</t>
  </si>
  <si>
    <t>Dobeles slimnīca</t>
  </si>
  <si>
    <t>Bauskas slimnīca</t>
  </si>
  <si>
    <t>Jēkabpils reģionālā slimnīca</t>
  </si>
  <si>
    <t>Aizkraukles slimnīca</t>
  </si>
  <si>
    <t>* Ministru kabineta 2021.gada 22.jūnija noteikumi Nr.418 “Noteikumi par plānošanas reģionu teritorijām”.</t>
  </si>
  <si>
    <t>Speciālisti</t>
  </si>
  <si>
    <t>Internisti</t>
  </si>
  <si>
    <t>Ķirurgi</t>
  </si>
  <si>
    <t>Traumatologi,ortopēdi</t>
  </si>
  <si>
    <t>Neirologi</t>
  </si>
  <si>
    <t>Radiologi</t>
  </si>
  <si>
    <t>Anesteziologi, reanimatologi</t>
  </si>
  <si>
    <t>Radiologa asist./radiogrāferi</t>
  </si>
  <si>
    <t>Citi specālisti</t>
  </si>
  <si>
    <t>Māsas</t>
  </si>
  <si>
    <t>Māsas palīgs</t>
  </si>
  <si>
    <t>Pediatrs</t>
  </si>
  <si>
    <t>Neonatologs</t>
  </si>
  <si>
    <t>Vecmātes</t>
  </si>
  <si>
    <t>Ārsta palīgi</t>
  </si>
  <si>
    <t>Rīgas Dzemdību nams</t>
  </si>
  <si>
    <t>Traumatoloģijas un ortopēdijas slimnīca</t>
  </si>
  <si>
    <t>Kopā ārsti</t>
  </si>
  <si>
    <t>–</t>
  </si>
  <si>
    <t>Neatliekamās medicīnas ārsti</t>
  </si>
  <si>
    <t>Ginekologi, dzemdību speciālisti</t>
  </si>
  <si>
    <t>Māsas palīgi</t>
  </si>
  <si>
    <t xml:space="preserve">Neatliekamās medicīnas un pacientu uzņemšanas nodaļa </t>
  </si>
  <si>
    <t>Posteņu skaits</t>
  </si>
  <si>
    <t>Citi speciālisti</t>
  </si>
  <si>
    <t>Ārstu skaits</t>
  </si>
  <si>
    <t>Klīniskās universitātes slimnīca</t>
  </si>
  <si>
    <t>Specializētā slimnīca</t>
  </si>
  <si>
    <t>Lokālā slimnīca</t>
  </si>
  <si>
    <t>Reģionālā slimnīca</t>
  </si>
  <si>
    <t>Aprūpes slimnīca</t>
  </si>
  <si>
    <t>Dežūrārsti no 16.00-08.00 darba dienas</t>
  </si>
  <si>
    <t>Dežūrārsti no 8.00-16.00 brīvdienas</t>
  </si>
  <si>
    <t>Dežūrārsts 9.00-21.00 (12h) darba dienas</t>
  </si>
  <si>
    <t>Tikai ārsts</t>
  </si>
  <si>
    <t>Radiologs mājdežūrā 75%</t>
  </si>
  <si>
    <t>Vecmāte, radiologa asistents, māsa</t>
  </si>
  <si>
    <t>Speciālists, kurš nodrošina palīdzību 24/7</t>
  </si>
  <si>
    <t>Posteņu, slodžu, darba stundu skaits un apmaksas nosacījumi NMPON darba nodrošināšanai</t>
  </si>
  <si>
    <t>Koeficents KUS</t>
  </si>
  <si>
    <t>KUS UN TOS, RDzN</t>
  </si>
  <si>
    <t>Pirmdienās</t>
  </si>
  <si>
    <t>Otrdienās</t>
  </si>
  <si>
    <t>Trešdienās</t>
  </si>
  <si>
    <t>Ceturtdienās</t>
  </si>
  <si>
    <t>Piektdienās</t>
  </si>
  <si>
    <t>Sestdienās</t>
  </si>
  <si>
    <t>Svētdienās</t>
  </si>
  <si>
    <t>Svētku un brīvdienās</t>
  </si>
  <si>
    <t>Stundas vidēji gadā</t>
  </si>
  <si>
    <t>Posteņa nosaukums</t>
  </si>
  <si>
    <t>Nedēļas dienas</t>
  </si>
  <si>
    <t>Posteņa veids</t>
  </si>
  <si>
    <t>% iesaiste, ja atbalsta postenis</t>
  </si>
  <si>
    <t>no</t>
  </si>
  <si>
    <t>līdz</t>
  </si>
  <si>
    <t>darba st</t>
  </si>
  <si>
    <t>t.sk. nakts st</t>
  </si>
  <si>
    <t>Tehniskā</t>
  </si>
  <si>
    <t>Darba sundas</t>
  </si>
  <si>
    <t>no tām nakts</t>
  </si>
  <si>
    <t>no tām svētku</t>
  </si>
  <si>
    <t>slodzes</t>
  </si>
  <si>
    <t>Atvaļinājuma rezerve</t>
  </si>
  <si>
    <t>KOPĀ</t>
  </si>
  <si>
    <t>Mēnešalga</t>
  </si>
  <si>
    <t>Stundas likme (vidējā)</t>
  </si>
  <si>
    <t>Samaksa gadā, EUR</t>
  </si>
  <si>
    <t>Par Nakts stundām, EUR gadā</t>
  </si>
  <si>
    <t>Par Svētku stundām, EUR gadā</t>
  </si>
  <si>
    <t>Īpašā riska piemaksa gadā, EUR</t>
  </si>
  <si>
    <t>Kopā gadā, EUR</t>
  </si>
  <si>
    <t>Uz vienu ārsta posteni gadā M, EUR</t>
  </si>
  <si>
    <t>ĀRSTS</t>
  </si>
  <si>
    <t>U</t>
  </si>
  <si>
    <t>A</t>
  </si>
  <si>
    <t>n</t>
  </si>
  <si>
    <t>MĀSA</t>
  </si>
  <si>
    <t>MĀSAS PALĪGI</t>
  </si>
  <si>
    <t>PĀRĒJIE</t>
  </si>
  <si>
    <t>Radiologs, diagnosts (mājas dežūra)</t>
  </si>
  <si>
    <t>2023. gada darba dienu kalendārs</t>
  </si>
  <si>
    <t>Nedēļas diena    /     Mēnesis</t>
  </si>
  <si>
    <t>P</t>
  </si>
  <si>
    <t>O</t>
  </si>
  <si>
    <t>T</t>
  </si>
  <si>
    <t>C</t>
  </si>
  <si>
    <t>S</t>
  </si>
  <si>
    <t>Sv</t>
  </si>
  <si>
    <t>KOPĀ dienas</t>
  </si>
  <si>
    <t>Darba dienas</t>
  </si>
  <si>
    <t>Darba stundas</t>
  </si>
  <si>
    <t>Svētku dienas</t>
  </si>
  <si>
    <t>Pārceltā brīvdiena</t>
  </si>
  <si>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</si>
  <si>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</si>
  <si>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</si>
  <si>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</si>
  <si>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</si>
  <si>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</si>
  <si>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</si>
  <si>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</si>
  <si>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</si>
  <si>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</si>
  <si>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</si>
  <si>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</si>
  <si>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Dienu skaits kopā</t>
  </si>
  <si>
    <t>Darba dienu skaits</t>
  </si>
  <si>
    <t>Sestdienu skaits</t>
  </si>
  <si>
    <t>Svētdienu skaits</t>
  </si>
  <si>
    <t>Pārceltās brīvdienas</t>
  </si>
  <si>
    <t>Dežūrārsts (8.00-16.00) brīvdienas</t>
  </si>
  <si>
    <t>Dežūrārsts (16.00-8.00) darba dienas</t>
  </si>
  <si>
    <t xml:space="preserve">Neatliekamās medicīnas un pacientu uzņemšanas nodaļa, EUR </t>
  </si>
  <si>
    <t>Dežūrārsti darba dienas, EUR</t>
  </si>
  <si>
    <t>Dežūrārsti brīvdienas, EUR</t>
  </si>
  <si>
    <t>Maksājuma apmērs, EUR</t>
  </si>
  <si>
    <t>Kopā, EUR</t>
  </si>
  <si>
    <t>Dežūrārsti no 16.00-08.00 darba dienas, EUR</t>
  </si>
  <si>
    <t>Dežūrārsti no 8.00-16.00 brīvdienas, EUR</t>
  </si>
  <si>
    <t>Ziemeļkurzemes reģionālā slimnīca, tajā skaitā Talsi</t>
  </si>
  <si>
    <t>Radiologi (attālināti)</t>
  </si>
  <si>
    <t>Saskaņā ar MK noteikumiem Nr. 555 "Veselības aprūpes pakalpojumu organizēšanas un samaksas kārtība" veselības aprūpes pakalpojumu tarifus aprēķina, izmantojot šādu formulu:
TC = VC (D + S + M + E) + FC (U + A + N), kur
TC – veselības aprūpes pakalpojuma tarifs;
VC – mainīgās izmaksas (tiešās izmaksas):
D – darba samaksa;
S – valsts sociālās apdrošināšanas obligātās iemaksas;
M – ārstniecības līdzekļi;
E – izdevumi, saistīti ar pacientu ēdināšanu;
FC – pastāvīgās izmaksas (netiešās izmaksas):
U – pieskaitāmās un netiešās ražošanas izmaksas (ar pacientu uzturēšanu saistītie izdevumi pakalpojumu apmaksai, riska maksājuma veikšanai, materiālu, energoresursu, ūdens un inventāra iegādei);
A – administratīvie izdevumi;
N – nolietojums.</t>
  </si>
  <si>
    <t xml:space="preserve">Darba samaksa </t>
  </si>
  <si>
    <t>Valsts sociālās apdrošināšanas obligātās iemaksas</t>
  </si>
  <si>
    <t>Ārstniecības līdzekļi</t>
  </si>
  <si>
    <t>Līdzmaksājums</t>
  </si>
  <si>
    <t>Pieskaitāmās un netiešās ražošanas izmaksas</t>
  </si>
  <si>
    <t>Administratīvie izdevumi</t>
  </si>
  <si>
    <t>Nolietojums</t>
  </si>
  <si>
    <t>Kopā</t>
  </si>
  <si>
    <t>Slimnīcas / Speciālists</t>
  </si>
  <si>
    <t>D</t>
  </si>
  <si>
    <t>M</t>
  </si>
  <si>
    <t xml:space="preserve">u` </t>
  </si>
  <si>
    <t>N</t>
  </si>
  <si>
    <t>Fiksētās piemaksas gada apjoms, EUR</t>
  </si>
  <si>
    <t>Rīgas 2. slimnīca</t>
  </si>
  <si>
    <t>KOPĀ EUR</t>
  </si>
  <si>
    <t>Ķirurgi (12H)</t>
  </si>
  <si>
    <t>153.1. ārstiem un funkcionālajiem speciālistiem</t>
  </si>
  <si>
    <t xml:space="preserve">153.2. ārstniecības un pacientu aprūpes personām un funkcionālo speciālistu asistentiem </t>
  </si>
  <si>
    <t xml:space="preserve">153.3. ārstniecības un pacientu aprūpes atbalsta personām </t>
  </si>
  <si>
    <t>Speciālists 24/7 ar kabineta maksājumu</t>
  </si>
  <si>
    <t>Radiologi (attālināti - caur manipulācijām)</t>
  </si>
  <si>
    <t>māsu palīgi bez 1.3</t>
  </si>
  <si>
    <t>Radiologs</t>
  </si>
  <si>
    <t>Ārsti</t>
  </si>
  <si>
    <t>Pediatrs/neonatalogs</t>
  </si>
  <si>
    <t>Ginekologs, dzemdību speciālists</t>
  </si>
  <si>
    <t>Ķirurgs</t>
  </si>
  <si>
    <t>anesteziologs, reanimatologs</t>
  </si>
  <si>
    <t>Sabiedrība ar ierobežotu atbildību "Siguldas slimnīca"</t>
  </si>
  <si>
    <t>Psihiatrs</t>
  </si>
  <si>
    <t>Valsts sabiedrība ar ierobežotu atbildību "Strenču psihoneiroloģiskā slimnīca"</t>
  </si>
  <si>
    <t>Valsts sabiedrība ar ierobežotu atbildību "Slimnīca "Ģintermuiža""</t>
  </si>
  <si>
    <t>Valsts sabiedrība ar ierobežotu atbildību "Daugavpils psihoneiroloģiskā slimnīca""</t>
  </si>
  <si>
    <t>Valsts sabiedrība ar ierobežotu atbildību "Piejūras slimnīca"</t>
  </si>
  <si>
    <t>Radiologs, diagnosts</t>
  </si>
  <si>
    <t>Ķirurgs vai traumatologs, ortopēds</t>
  </si>
  <si>
    <t>Rīgas pašvaldības sabiedrība ar ierobežotu atbildību "Rīgas 2. slimnīca"</t>
  </si>
  <si>
    <t>Narkologs</t>
  </si>
  <si>
    <t>Valsts sabiedrība ar ierobežotu atbildību "Rīgas psihiatrijas un narkoloģijas centrs"</t>
  </si>
  <si>
    <t>Internists vai anesteziologs, reanimatologs</t>
  </si>
  <si>
    <t>Valsts sabiedrība ar ierobežotu atbildību "Nacionālais rehabilitācijas centrs "Vaivari""</t>
  </si>
  <si>
    <t>Rīgas pašvaldības sabiedrība ar ierobežotu atbildību "Rīgas Dzemdību nams"</t>
  </si>
  <si>
    <t>Valsts sabiedrība ar ierobežotu atbildību "Traumatoloģijas un ortopēdijas slimnīca"</t>
  </si>
  <si>
    <t xml:space="preserve">Ķirurgs </t>
  </si>
  <si>
    <t>Internists vai neatliekamās medicīnas ārsts, vai ģimenes (vispārējās prakses) ārsts</t>
  </si>
  <si>
    <t>Sabiedrība ar ierobežotu atbildību "Ludzas medicīnas centrs"</t>
  </si>
  <si>
    <t>Sabiedrība ar ierobežotu atbildību "Limbažu slimnīca"</t>
  </si>
  <si>
    <t>Sabiedrība ar ierobežotu atbildību "Bauskas slimnīca"</t>
  </si>
  <si>
    <t>Sabiedrība ar ierobežotu atbildību "Aizkraukles slimnīca"</t>
  </si>
  <si>
    <t>Sabiedrība ar ierobežotu atbildību "Līvānu slimnīca"</t>
  </si>
  <si>
    <t>Sabiedrība ar ierobežotu atbildību "Krāslavas slimnīca"</t>
  </si>
  <si>
    <t>Sabiedrība ar ierobežotu atbildību "Tukuma slimnīca"</t>
  </si>
  <si>
    <t>Sabiedrība ar ierobežotu atbildību "Preiļu slimnīca"</t>
  </si>
  <si>
    <t>Sabiedrība ar ierobežotu atbildību "Alūksnes slimnīca"</t>
  </si>
  <si>
    <t>Sabiedrība ar ierobežotu atbildību "Kuldīgas slimnīca"</t>
  </si>
  <si>
    <t>Sabiedrība ar ierobežotu atbildību "Balvu un Gulbenes slimnīcu apvienība"</t>
  </si>
  <si>
    <t>Sabiedrība ar ierobežotu atbildību "Ogres rajona slimnīca"</t>
  </si>
  <si>
    <t>Sabiedrība ar ierobežotu atbildību "Jūrmalas slimnīca"</t>
  </si>
  <si>
    <t>Sabiedrība ar ierobežotu atbildību "Dobeles un apkārtnes slimnīca"</t>
  </si>
  <si>
    <t xml:space="preserve">Sabiedrība ar ierobežotu atbildību "Cēsu klīnika" </t>
  </si>
  <si>
    <t>Madonas novada pašvaldības sabiedrība ar ierobežotu atbildību "Madonas slimnīca"</t>
  </si>
  <si>
    <t>neirologs</t>
  </si>
  <si>
    <t>Traumatologs, ortopēds</t>
  </si>
  <si>
    <t>Internists vai neatliekamās medicīnas ārsts</t>
  </si>
  <si>
    <t>Sabiedrība ar ierobežotu atbildību "Rēzeknes slimnīca"</t>
  </si>
  <si>
    <t>Sabiedrība ar ierobežotu atbildību "Jēkabpils reģionālā slimnīca"</t>
  </si>
  <si>
    <t>Sabiedrība ar ierobežotu atbildību "Vidzemes slimnīca"</t>
  </si>
  <si>
    <t>Sabiedrība ar ierobežotu atbildību "Jelgavas pilsētas slimnīca"</t>
  </si>
  <si>
    <t>Sabiedrība ar ierobežotu atbildību "Ziemeļkurzemes reģionālā slimnīca"(Talsu fil.)</t>
  </si>
  <si>
    <t>Kardiologs invazīvais</t>
  </si>
  <si>
    <t>Sabiedrība ar ierobežotu atbildību "Daugavpils reģionālā slimnīca"</t>
  </si>
  <si>
    <t>Sabiedrība ar ierobežotu atbildību "Liepājas reģionālā slimnīca"</t>
  </si>
  <si>
    <t>Oftalmologs</t>
  </si>
  <si>
    <t>Bērnu ķirurgs</t>
  </si>
  <si>
    <t>Valsts sabiedrība ar ierobežotu atbildību "Bērnu klīniskā universitātes slimnīca"*</t>
  </si>
  <si>
    <t>Pneimonologs</t>
  </si>
  <si>
    <t>Infektologs</t>
  </si>
  <si>
    <t>Otolaringologs</t>
  </si>
  <si>
    <t>kardiologs</t>
  </si>
  <si>
    <t>urologs</t>
  </si>
  <si>
    <t>internists</t>
  </si>
  <si>
    <t>Neiroķirurgs</t>
  </si>
  <si>
    <t>Sabiedrība ar ierobežotu atbildību "Rīgas Austrumu klīniskā universitātes slimnīca"</t>
  </si>
  <si>
    <t>Neirologs</t>
  </si>
  <si>
    <t>Anesteziologs, reanimatologs</t>
  </si>
  <si>
    <t>Kardiologs</t>
  </si>
  <si>
    <t>Urologs</t>
  </si>
  <si>
    <t>Internists</t>
  </si>
  <si>
    <t xml:space="preserve">Valsts sabiedrība ar ierobežotu atbildību "Paula Stradiņa klīniskā universitātes slimnīca" </t>
  </si>
  <si>
    <t>Pārējie tarifa elementi, bez U</t>
  </si>
  <si>
    <t>D+S (0.2359)</t>
  </si>
  <si>
    <t>Pieskaitāmās un netiešās ražošanas izmaksas (U)</t>
  </si>
  <si>
    <t>Finansējums līdzmaksājuma kompensācijai (u'), EUR</t>
  </si>
  <si>
    <t>Ārstniecības līdzekļi (M)</t>
  </si>
  <si>
    <t>Valsts sociālās apdrošināšanas obligātās iemaksas (S)</t>
  </si>
  <si>
    <t>Gada izmaksas atalgojumam (D)</t>
  </si>
  <si>
    <t>Gada izmaksas svētku dienu atalgojumam (24h/d-0.19sl.), euro</t>
  </si>
  <si>
    <t>Gada izmaksas nakts atalgojumam (8 h/d-1.58sl.) euro</t>
  </si>
  <si>
    <t>Gada izmaksas dienas atalgojumam (16h/d-3.17sl.) euro</t>
  </si>
  <si>
    <t>Mēnešalga, euro</t>
  </si>
  <si>
    <t>Uzturēšanas maksājums gadam</t>
  </si>
  <si>
    <t>Speciālistu skaits / Kabinetu skaits</t>
  </si>
  <si>
    <t>Cilvēkresursa nodrošinājums uzņemšanā</t>
  </si>
  <si>
    <t>Ārstniecības personu slodzes</t>
  </si>
  <si>
    <t>2022.g., EUR</t>
  </si>
  <si>
    <t>VM aprēķins darba samaksai</t>
  </si>
  <si>
    <t>Piemaksa</t>
  </si>
  <si>
    <t>Pneimonologa kabinets</t>
  </si>
  <si>
    <t>Psihiatra kabinets</t>
  </si>
  <si>
    <t xml:space="preserve">svētku dienu atalgojumam </t>
  </si>
  <si>
    <t xml:space="preserve"> nakts atalgojumam</t>
  </si>
  <si>
    <t xml:space="preserve"> dienas atalgojumam </t>
  </si>
  <si>
    <t>Narkologa kabinets</t>
  </si>
  <si>
    <t>Atalgojuma slodzes</t>
  </si>
  <si>
    <t>Dežurārsta kabinets (infektologs)</t>
  </si>
  <si>
    <t>Neatliekamās palīdzības punkts</t>
  </si>
  <si>
    <t>Darba laika slodzes</t>
  </si>
  <si>
    <t>KOPĀ, EUR</t>
  </si>
  <si>
    <t>Medikamenti (ārstniecības līdzekļi)</t>
  </si>
  <si>
    <t>Uzturēšanas maksājums gadam par vienu spec.(atb.10.pielikumam)</t>
  </si>
  <si>
    <t>Fiksētās piemaksas aprēķins par neatliekamās palīdzības un pacientu uzņemšanas nodaļas darbību no 2023. gada 4. aprīļa</t>
  </si>
  <si>
    <t>Strenču psihoneiroloģiskā slimnīca</t>
  </si>
  <si>
    <t>Slimnīca "Ģintermuiža"</t>
  </si>
  <si>
    <t>Daugavpils psihoneiroloģiskā slimnīca</t>
  </si>
  <si>
    <t>Piejūras slimnīca</t>
  </si>
  <si>
    <t>Rīgas psihiatrijas un narkoloģijas centrs</t>
  </si>
  <si>
    <t>Nacionālais rehabilitācijas centrs "Vaivari"</t>
  </si>
  <si>
    <t>Fiksētās piemaksas aprēķins par neatliekamās palīdzības un pacientu uzņemšanas nodaļas darbību no 01.04.2023.</t>
  </si>
  <si>
    <t>Ziemeļkurzemes reģionālā slimnīca"(Talsu fil.)</t>
  </si>
  <si>
    <t>Dobeles un apkārtnes slimnīca</t>
  </si>
  <si>
    <t>Ludzas medicīnas centrs</t>
  </si>
  <si>
    <t>*dzelteni iezīmētās nemainās pēc reformas</t>
  </si>
  <si>
    <t>4. pielikums Informatīvajam ziņojumam par izmaiņām slimnīcu tīklā</t>
  </si>
  <si>
    <t>4.1. pielikums</t>
  </si>
  <si>
    <t>Citi speciālisti (kardiologs 12h)</t>
  </si>
  <si>
    <t>Radiologi (attālinati)</t>
  </si>
  <si>
    <t>4.2. pielikums</t>
  </si>
  <si>
    <t>4.3. pielikums</t>
  </si>
  <si>
    <t>4.4. pielikums</t>
  </si>
  <si>
    <t>4.5. pielikums</t>
  </si>
  <si>
    <t>Neatliekamās medicīnas un pacientu uzņemšanas nodaļa, EUR*</t>
  </si>
  <si>
    <t>Kopā nepieciešams finansējums dežūrārstiem, EUR</t>
  </si>
  <si>
    <t>*finansējuma sadalījumā netiek iekļautas psihoneiroloģiskās slimnīcas, jo tām finansēšanas modelis saglabājas līdzšinējā kārtībā</t>
  </si>
  <si>
    <t>Finansējums uzņemšanas nodaļu un dežūrārstu nodrošināšanai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</si>
</sst>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 &quot;#,##0.00&quot; &quot;;&quot;-&quot;#,##0.00&quot; &quot;;&quot; -&quot;00&quot; &quot;;&quot; &quot;@&quot; &quot;"/>
    <numFmt numFmtId="165" formatCode="0.0000"/>
    <numFmt numFmtId="166" formatCode="_([$€-2]\ * #,##0.00_);_([$€-2]\ * \(#,##0.00\);_([$€-2]\ * &quot;-&quot;??_);_(@_)"/>
    <numFmt numFmtId="167" formatCode="_-* #,##0_-;\-* #,##0_-;_-* &quot;-&quot;??_-;_-@_-"/>
  </numFmts>
  <fonts count="6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charset val="186"/>
      <scheme val="minor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sz val="9"/>
      <color theme="1"/>
      <name val="Arial"/>
      <family val="2"/>
      <charset val="186"/>
    </font>
    <font>
      <sz val="9"/>
      <color theme="1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9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rgb="FF000000"/>
      <name val="Calibri"/>
      <family val="2"/>
      <charset val="186"/>
    </font>
    <font>
      <sz val="12"/>
      <name val="Times New Roman"/>
      <family val="1"/>
      <charset val="186"/>
    </font>
    <font>
      <sz val="8"/>
      <color rgb="FF414142"/>
      <name val="Arial"/>
      <family val="2"/>
      <charset val="186"/>
    </font>
    <font>
      <sz val="11"/>
      <color rgb="FF0070C0"/>
      <name val="Times New Roman"/>
      <family val="1"/>
      <charset val="186"/>
    </font>
    <font>
      <sz val="9"/>
      <name val="Times New Roman"/>
      <family val="1"/>
      <charset val="186"/>
    </font>
    <font>
      <b/>
      <sz val="12"/>
      <color rgb="FF0070C0"/>
      <name val="Times New Roman"/>
      <family val="1"/>
      <charset val="186"/>
    </font>
    <font>
      <b/>
      <sz val="12"/>
      <name val="Times New Roman"/>
      <family val="1"/>
      <charset val="186"/>
    </font>
    <font>
      <sz val="16"/>
      <name val="Times New Roman"/>
      <family val="1"/>
      <charset val="186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i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trike/>
      <sz val="9"/>
      <name val="Arial"/>
      <family val="2"/>
    </font>
    <font>
      <i/>
      <sz val="9"/>
      <name val="Arial"/>
      <family val="2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2"/>
      <name val="Calibri"/>
      <family val="2"/>
      <charset val="186"/>
      <scheme val="minor"/>
    </font>
    <font>
      <b/>
      <sz val="18"/>
      <name val="Times New Roman"/>
      <family val="1"/>
    </font>
    <font>
      <sz val="2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sz val="11"/>
      <name val="Calibri"/>
      <family val="2"/>
    </font>
    <font>
      <sz val="24"/>
      <name val="Times New Roman"/>
      <family val="1"/>
    </font>
    <font>
      <b/>
      <sz val="24"/>
      <name val="Calibri"/>
      <family val="2"/>
    </font>
    <font>
      <b/>
      <sz val="16"/>
      <name val="Times New Roman"/>
      <family val="1"/>
    </font>
    <font>
      <b/>
      <sz val="11"/>
      <name val="Calibri"/>
      <family val="2"/>
    </font>
    <font>
      <b/>
      <sz val="14"/>
      <name val="Calibri"/>
      <family val="2"/>
    </font>
    <font>
      <b/>
      <sz val="13.5"/>
      <name val="Calibri"/>
      <family val="2"/>
    </font>
    <font>
      <b/>
      <sz val="12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CCC1DA"/>
        <bgColor rgb="FFE6B9B8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EEF4"/>
      </patternFill>
    </fill>
    <fill>
      <patternFill patternType="solid">
        <fgColor rgb="FFFF0000"/>
        <bgColor rgb="FFFF3300"/>
      </patternFill>
    </fill>
    <fill>
      <patternFill patternType="solid">
        <fgColor rgb="FFFF0000"/>
        <bgColor indexed="64"/>
      </patternFill>
    </fill>
    <fill>
      <patternFill patternType="solid">
        <fgColor rgb="FFDBEEF4"/>
        <bgColor rgb="FFCC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7CE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9">
    <xf numFmtId="0" fontId="0" fillId="0" borderId="0"/>
    <xf numFmtId="0" fontId="15" fillId="0" borderId="0"/>
    <xf numFmtId="0" fontId="17" fillId="0" borderId="0"/>
    <xf numFmtId="0" fontId="17" fillId="0" borderId="0"/>
    <xf numFmtId="0" fontId="21" fillId="0" borderId="0"/>
    <xf numFmtId="43" fontId="17" fillId="0" borderId="0" applyFont="0" applyFill="0" applyBorder="0" applyAlignment="0" applyProtection="0"/>
    <xf numFmtId="0" fontId="2" fillId="0" borderId="0"/>
    <xf numFmtId="0" fontId="17" fillId="0" borderId="0"/>
    <xf numFmtId="0" fontId="17" fillId="0" borderId="0"/>
    <xf numFmtId="164" fontId="28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2" fillId="0" borderId="0"/>
    <xf numFmtId="43" fontId="17" fillId="0" borderId="0" applyFont="0" applyFill="0" applyBorder="0" applyAlignment="0" applyProtection="0"/>
    <xf numFmtId="0" fontId="36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4" fillId="0" borderId="0" applyFont="0" applyFill="0" applyBorder="0" applyAlignment="0" applyProtection="0"/>
  </cellStyleXfs>
  <cellXfs count="406">
    <xf numFmtId="0" fontId="0" fillId="0" borderId="0" xfId="0"/>
    <xf numFmtId="0" fontId="3" fillId="0" borderId="0" xfId="0" applyFont="1"/>
    <xf numFmtId="0" fontId="5" fillId="0" borderId="4" xfId="0" applyFont="1" applyBorder="1"/>
    <xf numFmtId="0" fontId="5" fillId="5" borderId="4" xfId="0" applyFont="1" applyFill="1" applyBorder="1" applyAlignment="1">
      <alignment horizontal="left" vertical="center" wrapText="1"/>
    </xf>
    <xf numFmtId="0" fontId="6" fillId="0" borderId="0" xfId="0" applyFont="1"/>
    <xf numFmtId="0" fontId="5" fillId="0" borderId="3" xfId="0" applyFont="1" applyBorder="1"/>
    <xf numFmtId="0" fontId="5" fillId="2" borderId="4" xfId="0" applyFont="1" applyFill="1" applyBorder="1" applyAlignment="1">
      <alignment horizontal="left"/>
    </xf>
    <xf numFmtId="0" fontId="5" fillId="0" borderId="4" xfId="0" applyFont="1" applyBorder="1" applyAlignment="1">
      <alignment vertical="top"/>
    </xf>
    <xf numFmtId="0" fontId="7" fillId="0" borderId="0" xfId="0" applyFont="1"/>
    <xf numFmtId="0" fontId="8" fillId="0" borderId="0" xfId="0" applyFont="1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1" fillId="11" borderId="0" xfId="0" applyFont="1" applyFill="1"/>
    <xf numFmtId="0" fontId="11" fillId="17" borderId="0" xfId="0" applyFont="1" applyFill="1"/>
    <xf numFmtId="0" fontId="10" fillId="2" borderId="0" xfId="0" applyFont="1" applyFill="1"/>
    <xf numFmtId="3" fontId="3" fillId="0" borderId="0" xfId="0" applyNumberFormat="1" applyFont="1"/>
    <xf numFmtId="0" fontId="0" fillId="0" borderId="2" xfId="0" applyBorder="1"/>
    <xf numFmtId="3" fontId="0" fillId="0" borderId="2" xfId="0" applyNumberFormat="1" applyBorder="1"/>
    <xf numFmtId="3" fontId="9" fillId="0" borderId="2" xfId="0" applyNumberFormat="1" applyFont="1" applyBorder="1" applyAlignment="1">
      <alignment horizontal="center" vertical="center"/>
    </xf>
    <xf numFmtId="3" fontId="0" fillId="0" borderId="22" xfId="0" applyNumberFormat="1" applyBorder="1"/>
    <xf numFmtId="0" fontId="0" fillId="0" borderId="22" xfId="0" applyBorder="1"/>
    <xf numFmtId="3" fontId="0" fillId="0" borderId="9" xfId="0" applyNumberFormat="1" applyBorder="1"/>
    <xf numFmtId="3" fontId="9" fillId="0" borderId="9" xfId="0" applyNumberFormat="1" applyFont="1" applyBorder="1" applyAlignment="1">
      <alignment horizontal="center" vertical="center"/>
    </xf>
    <xf numFmtId="3" fontId="0" fillId="0" borderId="13" xfId="0" applyNumberFormat="1" applyBorder="1"/>
    <xf numFmtId="3" fontId="13" fillId="0" borderId="2" xfId="0" applyNumberFormat="1" applyFont="1" applyBorder="1"/>
    <xf numFmtId="3" fontId="12" fillId="0" borderId="2" xfId="0" applyNumberFormat="1" applyFont="1" applyBorder="1" applyAlignment="1">
      <alignment horizontal="center" vertical="center"/>
    </xf>
    <xf numFmtId="0" fontId="18" fillId="26" borderId="2" xfId="2" applyFont="1" applyFill="1" applyBorder="1" applyAlignment="1">
      <alignment horizontal="left" vertical="center" wrapText="1"/>
    </xf>
    <xf numFmtId="0" fontId="20" fillId="26" borderId="2" xfId="3" applyFont="1" applyFill="1" applyBorder="1" applyAlignment="1">
      <alignment horizontal="center" vertical="center" wrapText="1"/>
    </xf>
    <xf numFmtId="0" fontId="18" fillId="26" borderId="2" xfId="2" applyFont="1" applyFill="1" applyBorder="1" applyAlignment="1">
      <alignment horizontal="center" vertical="center" wrapText="1"/>
    </xf>
    <xf numFmtId="2" fontId="19" fillId="0" borderId="0" xfId="4" applyNumberFormat="1" applyFont="1" applyAlignment="1">
      <alignment horizontal="center"/>
    </xf>
    <xf numFmtId="2" fontId="19" fillId="0" borderId="0" xfId="4" applyNumberFormat="1" applyFont="1" applyAlignment="1">
      <alignment horizontal="left"/>
    </xf>
    <xf numFmtId="4" fontId="19" fillId="0" borderId="0" xfId="4" applyNumberFormat="1" applyFont="1" applyAlignment="1">
      <alignment horizontal="left"/>
    </xf>
    <xf numFmtId="0" fontId="20" fillId="26" borderId="2" xfId="3" applyFont="1" applyFill="1" applyBorder="1" applyAlignment="1">
      <alignment horizontal="center"/>
    </xf>
    <xf numFmtId="0" fontId="17" fillId="0" borderId="0" xfId="8"/>
    <xf numFmtId="4" fontId="17" fillId="0" borderId="0" xfId="8" applyNumberFormat="1"/>
    <xf numFmtId="2" fontId="17" fillId="0" borderId="0" xfId="8" applyNumberFormat="1"/>
    <xf numFmtId="4" fontId="17" fillId="0" borderId="2" xfId="8" applyNumberFormat="1" applyBorder="1"/>
    <xf numFmtId="2" fontId="17" fillId="0" borderId="2" xfId="8" applyNumberFormat="1" applyBorder="1"/>
    <xf numFmtId="2" fontId="26" fillId="0" borderId="2" xfId="5" applyNumberFormat="1" applyFont="1" applyBorder="1" applyAlignment="1">
      <alignment horizontal="left"/>
    </xf>
    <xf numFmtId="2" fontId="26" fillId="0" borderId="2" xfId="5" applyNumberFormat="1" applyFont="1" applyFill="1" applyBorder="1" applyAlignment="1">
      <alignment horizontal="left"/>
    </xf>
    <xf numFmtId="2" fontId="27" fillId="0" borderId="2" xfId="4" applyNumberFormat="1" applyFont="1" applyBorder="1" applyAlignment="1">
      <alignment horizontal="right"/>
    </xf>
    <xf numFmtId="2" fontId="19" fillId="0" borderId="2" xfId="4" applyNumberFormat="1" applyFont="1" applyBorder="1" applyAlignment="1">
      <alignment horizontal="center"/>
    </xf>
    <xf numFmtId="2" fontId="27" fillId="0" borderId="0" xfId="4" applyNumberFormat="1" applyFont="1" applyAlignment="1">
      <alignment horizontal="left"/>
    </xf>
    <xf numFmtId="4" fontId="26" fillId="27" borderId="2" xfId="5" applyNumberFormat="1" applyFont="1" applyFill="1" applyBorder="1" applyAlignment="1">
      <alignment horizontal="left"/>
    </xf>
    <xf numFmtId="2" fontId="26" fillId="27" borderId="2" xfId="5" applyNumberFormat="1" applyFont="1" applyFill="1" applyBorder="1" applyAlignment="1">
      <alignment horizontal="left"/>
    </xf>
    <xf numFmtId="2" fontId="27" fillId="0" borderId="2" xfId="5" applyNumberFormat="1" applyFont="1" applyBorder="1" applyAlignment="1">
      <alignment horizontal="left"/>
    </xf>
    <xf numFmtId="2" fontId="27" fillId="0" borderId="2" xfId="5" applyNumberFormat="1" applyFont="1" applyFill="1" applyBorder="1" applyAlignment="1">
      <alignment horizontal="center"/>
    </xf>
    <xf numFmtId="4" fontId="19" fillId="0" borderId="2" xfId="5" applyNumberFormat="1" applyFont="1" applyBorder="1" applyAlignment="1">
      <alignment horizontal="left" wrapText="1"/>
    </xf>
    <xf numFmtId="2" fontId="21" fillId="0" borderId="0" xfId="3" applyNumberFormat="1" applyFont="1" applyAlignment="1">
      <alignment horizontal="center"/>
    </xf>
    <xf numFmtId="2" fontId="21" fillId="0" borderId="2" xfId="3" applyNumberFormat="1" applyFont="1" applyBorder="1" applyAlignment="1">
      <alignment horizontal="center"/>
    </xf>
    <xf numFmtId="2" fontId="19" fillId="0" borderId="2" xfId="9" applyNumberFormat="1" applyFont="1" applyBorder="1" applyAlignment="1">
      <alignment horizontal="left" wrapText="1"/>
    </xf>
    <xf numFmtId="2" fontId="19" fillId="0" borderId="2" xfId="9" applyNumberFormat="1" applyFont="1" applyFill="1" applyBorder="1" applyAlignment="1">
      <alignment horizontal="left" wrapText="1"/>
    </xf>
    <xf numFmtId="2" fontId="19" fillId="0" borderId="2" xfId="4" applyNumberFormat="1" applyFont="1" applyBorder="1" applyAlignment="1">
      <alignment horizontal="left"/>
    </xf>
    <xf numFmtId="2" fontId="19" fillId="0" borderId="2" xfId="4" applyNumberFormat="1" applyFont="1" applyBorder="1" applyAlignment="1">
      <alignment horizontal="right"/>
    </xf>
    <xf numFmtId="2" fontId="19" fillId="0" borderId="2" xfId="9" applyNumberFormat="1" applyFont="1" applyFill="1" applyBorder="1" applyAlignment="1">
      <alignment horizontal="left"/>
    </xf>
    <xf numFmtId="2" fontId="27" fillId="0" borderId="2" xfId="3" applyNumberFormat="1" applyFont="1" applyBorder="1" applyAlignment="1">
      <alignment horizontal="center"/>
    </xf>
    <xf numFmtId="2" fontId="19" fillId="0" borderId="2" xfId="9" applyNumberFormat="1" applyFont="1" applyFill="1" applyBorder="1" applyAlignment="1">
      <alignment horizontal="left" vertical="center" wrapText="1"/>
    </xf>
    <xf numFmtId="2" fontId="19" fillId="0" borderId="2" xfId="4" applyNumberFormat="1" applyFont="1" applyBorder="1" applyAlignment="1">
      <alignment horizontal="left" vertical="top" wrapText="1"/>
    </xf>
    <xf numFmtId="2" fontId="27" fillId="0" borderId="2" xfId="9" applyNumberFormat="1" applyFont="1" applyFill="1" applyBorder="1" applyAlignment="1">
      <alignment horizontal="left" wrapText="1"/>
    </xf>
    <xf numFmtId="2" fontId="19" fillId="0" borderId="2" xfId="5" applyNumberFormat="1" applyFont="1" applyBorder="1" applyAlignment="1">
      <alignment horizontal="left" wrapText="1"/>
    </xf>
    <xf numFmtId="1" fontId="25" fillId="28" borderId="2" xfId="10" applyNumberFormat="1" applyFont="1" applyFill="1" applyBorder="1" applyAlignment="1">
      <alignment horizontal="center"/>
    </xf>
    <xf numFmtId="2" fontId="27" fillId="0" borderId="2" xfId="4" applyNumberFormat="1" applyFont="1" applyBorder="1" applyAlignment="1">
      <alignment horizontal="left"/>
    </xf>
    <xf numFmtId="2" fontId="27" fillId="0" borderId="2" xfId="5" applyNumberFormat="1" applyFont="1" applyFill="1" applyBorder="1" applyAlignment="1">
      <alignment horizontal="left" wrapText="1"/>
    </xf>
    <xf numFmtId="4" fontId="21" fillId="0" borderId="2" xfId="8" applyNumberFormat="1" applyFont="1" applyBorder="1"/>
    <xf numFmtId="4" fontId="27" fillId="0" borderId="2" xfId="5" applyNumberFormat="1" applyFont="1" applyBorder="1" applyAlignment="1">
      <alignment horizontal="left" vertical="center" wrapText="1"/>
    </xf>
    <xf numFmtId="2" fontId="27" fillId="0" borderId="2" xfId="9" applyNumberFormat="1" applyFont="1" applyBorder="1" applyAlignment="1">
      <alignment horizontal="center" vertical="center" wrapText="1"/>
    </xf>
    <xf numFmtId="4" fontId="21" fillId="0" borderId="0" xfId="8" applyNumberFormat="1" applyFont="1"/>
    <xf numFmtId="4" fontId="19" fillId="0" borderId="22" xfId="5" applyNumberFormat="1" applyFont="1" applyBorder="1" applyAlignment="1">
      <alignment horizontal="left" wrapText="1"/>
    </xf>
    <xf numFmtId="2" fontId="19" fillId="0" borderId="2" xfId="5" applyNumberFormat="1" applyFont="1" applyFill="1" applyBorder="1" applyAlignment="1">
      <alignment horizontal="left"/>
    </xf>
    <xf numFmtId="2" fontId="27" fillId="0" borderId="2" xfId="5" applyNumberFormat="1" applyFont="1" applyBorder="1" applyAlignment="1">
      <alignment horizontal="left" wrapText="1"/>
    </xf>
    <xf numFmtId="2" fontId="27" fillId="0" borderId="2" xfId="5" applyNumberFormat="1" applyFont="1" applyBorder="1" applyAlignment="1">
      <alignment horizontal="center" vertical="center" wrapText="1"/>
    </xf>
    <xf numFmtId="4" fontId="27" fillId="0" borderId="2" xfId="5" applyNumberFormat="1" applyFont="1" applyFill="1" applyBorder="1" applyAlignment="1">
      <alignment horizontal="left" vertical="center" wrapText="1"/>
    </xf>
    <xf numFmtId="2" fontId="27" fillId="0" borderId="2" xfId="5" applyNumberFormat="1" applyFont="1" applyFill="1" applyBorder="1" applyAlignment="1">
      <alignment horizontal="center" vertical="center" wrapText="1"/>
    </xf>
    <xf numFmtId="2" fontId="27" fillId="0" borderId="2" xfId="9" applyNumberFormat="1" applyFont="1" applyFill="1" applyBorder="1" applyAlignment="1">
      <alignment horizontal="center" vertical="center" wrapText="1"/>
    </xf>
    <xf numFmtId="2" fontId="27" fillId="0" borderId="0" xfId="8" applyNumberFormat="1" applyFont="1"/>
    <xf numFmtId="4" fontId="19" fillId="0" borderId="22" xfId="5" applyNumberFormat="1" applyFont="1" applyFill="1" applyBorder="1" applyAlignment="1">
      <alignment horizontal="left" wrapText="1"/>
    </xf>
    <xf numFmtId="2" fontId="19" fillId="0" borderId="2" xfId="5" applyNumberFormat="1" applyFont="1" applyFill="1" applyBorder="1" applyAlignment="1">
      <alignment horizontal="left" wrapText="1"/>
    </xf>
    <xf numFmtId="2" fontId="27" fillId="0" borderId="2" xfId="9" applyNumberFormat="1" applyFont="1" applyFill="1" applyBorder="1" applyAlignment="1">
      <alignment horizontal="left"/>
    </xf>
    <xf numFmtId="2" fontId="19" fillId="0" borderId="2" xfId="5" applyNumberFormat="1" applyFont="1" applyFill="1" applyBorder="1" applyAlignment="1">
      <alignment horizontal="left" vertical="center" wrapText="1"/>
    </xf>
    <xf numFmtId="2" fontId="27" fillId="0" borderId="2" xfId="9" applyNumberFormat="1" applyFont="1" applyBorder="1" applyAlignment="1">
      <alignment horizontal="left" wrapText="1"/>
    </xf>
    <xf numFmtId="4" fontId="27" fillId="0" borderId="2" xfId="9" applyNumberFormat="1" applyFont="1" applyFill="1" applyBorder="1" applyAlignment="1">
      <alignment horizontal="left" vertical="center" wrapText="1"/>
    </xf>
    <xf numFmtId="2" fontId="27" fillId="0" borderId="2" xfId="5" applyNumberFormat="1" applyFont="1" applyBorder="1" applyAlignment="1">
      <alignment horizontal="center" wrapText="1"/>
    </xf>
    <xf numFmtId="4" fontId="17" fillId="0" borderId="22" xfId="8" applyNumberFormat="1" applyBorder="1"/>
    <xf numFmtId="2" fontId="19" fillId="0" borderId="2" xfId="5" applyNumberFormat="1" applyFont="1" applyBorder="1" applyAlignment="1">
      <alignment horizontal="left"/>
    </xf>
    <xf numFmtId="4" fontId="19" fillId="0" borderId="22" xfId="4" applyNumberFormat="1" applyFont="1" applyBorder="1" applyAlignment="1">
      <alignment horizontal="left"/>
    </xf>
    <xf numFmtId="2" fontId="29" fillId="0" borderId="2" xfId="11" applyNumberFormat="1" applyFont="1" applyBorder="1" applyAlignment="1">
      <alignment vertical="center" wrapText="1"/>
    </xf>
    <xf numFmtId="4" fontId="27" fillId="29" borderId="2" xfId="5" applyNumberFormat="1" applyFont="1" applyFill="1" applyBorder="1" applyAlignment="1">
      <alignment horizontal="left" vertical="center" wrapText="1"/>
    </xf>
    <xf numFmtId="3" fontId="21" fillId="0" borderId="2" xfId="8" applyNumberFormat="1" applyFont="1" applyBorder="1"/>
    <xf numFmtId="3" fontId="30" fillId="0" borderId="0" xfId="8" applyNumberFormat="1" applyFont="1"/>
    <xf numFmtId="2" fontId="19" fillId="0" borderId="9" xfId="5" applyNumberFormat="1" applyFont="1" applyBorder="1" applyAlignment="1">
      <alignment horizontal="left" wrapText="1"/>
    </xf>
    <xf numFmtId="2" fontId="19" fillId="0" borderId="9" xfId="4" applyNumberFormat="1" applyFont="1" applyBorder="1" applyAlignment="1">
      <alignment horizontal="center"/>
    </xf>
    <xf numFmtId="2" fontId="19" fillId="0" borderId="9" xfId="4" applyNumberFormat="1" applyFont="1" applyBorder="1" applyAlignment="1">
      <alignment horizontal="left"/>
    </xf>
    <xf numFmtId="2" fontId="29" fillId="0" borderId="0" xfId="11" applyNumberFormat="1" applyFont="1" applyAlignment="1">
      <alignment vertical="center" wrapText="1"/>
    </xf>
    <xf numFmtId="2" fontId="19" fillId="0" borderId="2" xfId="5" applyNumberFormat="1" applyFont="1" applyFill="1" applyBorder="1" applyAlignment="1">
      <alignment horizontal="center" wrapText="1"/>
    </xf>
    <xf numFmtId="2" fontId="19" fillId="0" borderId="0" xfId="4" applyNumberFormat="1" applyFont="1" applyAlignment="1">
      <alignment horizontal="left" vertical="center"/>
    </xf>
    <xf numFmtId="2" fontId="19" fillId="0" borderId="2" xfId="5" applyNumberFormat="1" applyFont="1" applyBorder="1" applyAlignment="1">
      <alignment horizontal="center" vertical="center" wrapText="1"/>
    </xf>
    <xf numFmtId="2" fontId="19" fillId="0" borderId="2" xfId="5" applyNumberFormat="1" applyFont="1" applyFill="1" applyBorder="1" applyAlignment="1">
      <alignment horizontal="center" vertical="center" wrapText="1"/>
    </xf>
    <xf numFmtId="4" fontId="31" fillId="0" borderId="2" xfId="2" applyNumberFormat="1" applyFont="1" applyBorder="1" applyAlignment="1">
      <alignment horizontal="center" vertical="center" wrapText="1"/>
    </xf>
    <xf numFmtId="4" fontId="27" fillId="0" borderId="2" xfId="5" applyNumberFormat="1" applyFont="1" applyBorder="1" applyAlignment="1">
      <alignment horizontal="center" vertical="center" wrapText="1"/>
    </xf>
    <xf numFmtId="2" fontId="32" fillId="0" borderId="22" xfId="3" applyNumberFormat="1" applyFont="1" applyBorder="1" applyAlignment="1">
      <alignment horizontal="center" vertical="center" wrapText="1"/>
    </xf>
    <xf numFmtId="2" fontId="32" fillId="0" borderId="2" xfId="3" applyNumberFormat="1" applyFont="1" applyBorder="1" applyAlignment="1">
      <alignment horizontal="center" vertical="center" wrapText="1"/>
    </xf>
    <xf numFmtId="2" fontId="19" fillId="30" borderId="2" xfId="4" applyNumberFormat="1" applyFont="1" applyFill="1" applyBorder="1" applyAlignment="1">
      <alignment horizontal="center" vertical="center" wrapText="1"/>
    </xf>
    <xf numFmtId="2" fontId="19" fillId="0" borderId="2" xfId="3" applyNumberFormat="1" applyFont="1" applyBorder="1" applyAlignment="1">
      <alignment horizontal="center" vertical="center" wrapText="1"/>
    </xf>
    <xf numFmtId="2" fontId="19" fillId="0" borderId="2" xfId="5" applyNumberFormat="1" applyFont="1" applyBorder="1" applyAlignment="1">
      <alignment horizontal="left" vertical="center" wrapText="1"/>
    </xf>
    <xf numFmtId="2" fontId="19" fillId="0" borderId="2" xfId="4" applyNumberFormat="1" applyFont="1" applyBorder="1" applyAlignment="1">
      <alignment horizontal="left" vertical="center"/>
    </xf>
    <xf numFmtId="2" fontId="19" fillId="0" borderId="0" xfId="5" applyNumberFormat="1" applyFont="1" applyFill="1" applyBorder="1" applyAlignment="1">
      <alignment horizontal="center"/>
    </xf>
    <xf numFmtId="2" fontId="19" fillId="0" borderId="0" xfId="5" applyNumberFormat="1" applyFont="1" applyFill="1" applyBorder="1" applyAlignment="1">
      <alignment horizontal="left"/>
    </xf>
    <xf numFmtId="165" fontId="17" fillId="0" borderId="0" xfId="8" applyNumberFormat="1"/>
    <xf numFmtId="165" fontId="19" fillId="0" borderId="0" xfId="4" applyNumberFormat="1" applyFont="1" applyAlignment="1">
      <alignment horizontal="left"/>
    </xf>
    <xf numFmtId="3" fontId="21" fillId="0" borderId="2" xfId="3" applyNumberFormat="1" applyFont="1" applyBorder="1"/>
    <xf numFmtId="2" fontId="21" fillId="0" borderId="2" xfId="3" applyNumberFormat="1" applyFont="1" applyBorder="1"/>
    <xf numFmtId="2" fontId="19" fillId="0" borderId="2" xfId="4" applyNumberFormat="1" applyFont="1" applyBorder="1" applyAlignment="1">
      <alignment horizontal="center" wrapText="1"/>
    </xf>
    <xf numFmtId="2" fontId="21" fillId="0" borderId="0" xfId="8" applyNumberFormat="1" applyFont="1"/>
    <xf numFmtId="2" fontId="34" fillId="0" borderId="0" xfId="8" applyNumberFormat="1" applyFont="1"/>
    <xf numFmtId="2" fontId="21" fillId="0" borderId="2" xfId="8" applyNumberFormat="1" applyFont="1" applyBorder="1" applyAlignment="1">
      <alignment vertical="center"/>
    </xf>
    <xf numFmtId="2" fontId="21" fillId="0" borderId="2" xfId="8" applyNumberFormat="1" applyFont="1" applyBorder="1" applyAlignment="1">
      <alignment vertical="center" wrapText="1"/>
    </xf>
    <xf numFmtId="2" fontId="35" fillId="0" borderId="0" xfId="8" applyNumberFormat="1" applyFont="1"/>
    <xf numFmtId="0" fontId="25" fillId="0" borderId="0" xfId="12" applyFont="1"/>
    <xf numFmtId="2" fontId="18" fillId="0" borderId="22" xfId="4" applyNumberFormat="1" applyFont="1" applyBorder="1" applyAlignment="1">
      <alignment horizontal="left"/>
    </xf>
    <xf numFmtId="2" fontId="18" fillId="0" borderId="2" xfId="4" applyNumberFormat="1" applyFont="1" applyBorder="1" applyAlignment="1">
      <alignment horizontal="left"/>
    </xf>
    <xf numFmtId="0" fontId="24" fillId="26" borderId="2" xfId="3" applyFont="1" applyFill="1" applyBorder="1" applyAlignment="1">
      <alignment horizontal="center"/>
    </xf>
    <xf numFmtId="4" fontId="23" fillId="26" borderId="2" xfId="13" applyNumberFormat="1" applyFont="1" applyFill="1" applyBorder="1" applyAlignment="1">
      <alignment horizontal="center" vertical="center" wrapText="1"/>
    </xf>
    <xf numFmtId="2" fontId="22" fillId="26" borderId="2" xfId="3" applyNumberFormat="1" applyFont="1" applyFill="1" applyBorder="1" applyAlignment="1">
      <alignment horizontal="center" vertical="center"/>
    </xf>
    <xf numFmtId="2" fontId="22" fillId="26" borderId="22" xfId="3" applyNumberFormat="1" applyFont="1" applyFill="1" applyBorder="1" applyAlignment="1">
      <alignment horizontal="center" vertical="center"/>
    </xf>
    <xf numFmtId="2" fontId="18" fillId="26" borderId="2" xfId="4" applyNumberFormat="1" applyFont="1" applyFill="1" applyBorder="1" applyAlignment="1">
      <alignment horizontal="center" vertical="center"/>
    </xf>
    <xf numFmtId="2" fontId="18" fillId="26" borderId="2" xfId="3" applyNumberFormat="1" applyFont="1" applyFill="1" applyBorder="1" applyAlignment="1">
      <alignment horizontal="center" vertical="center"/>
    </xf>
    <xf numFmtId="2" fontId="18" fillId="26" borderId="2" xfId="13" applyNumberFormat="1" applyFont="1" applyFill="1" applyBorder="1" applyAlignment="1">
      <alignment horizontal="center" vertical="center"/>
    </xf>
    <xf numFmtId="2" fontId="18" fillId="26" borderId="2" xfId="4" applyNumberFormat="1" applyFont="1" applyFill="1" applyBorder="1" applyAlignment="1">
      <alignment horizontal="left" vertical="center"/>
    </xf>
    <xf numFmtId="0" fontId="17" fillId="0" borderId="0" xfId="8" applyAlignment="1">
      <alignment wrapText="1"/>
    </xf>
    <xf numFmtId="0" fontId="20" fillId="26" borderId="2" xfId="12" applyFont="1" applyFill="1" applyBorder="1" applyAlignment="1">
      <alignment horizontal="center" vertical="center" wrapText="1"/>
    </xf>
    <xf numFmtId="0" fontId="14" fillId="0" borderId="0" xfId="12" applyFont="1"/>
    <xf numFmtId="2" fontId="16" fillId="0" borderId="0" xfId="12" applyNumberFormat="1" applyFont="1"/>
    <xf numFmtId="166" fontId="3" fillId="0" borderId="0" xfId="0" applyNumberFormat="1" applyFont="1"/>
    <xf numFmtId="166" fontId="6" fillId="0" borderId="0" xfId="0" applyNumberFormat="1" applyFont="1"/>
    <xf numFmtId="166" fontId="7" fillId="0" borderId="0" xfId="0" applyNumberFormat="1" applyFont="1"/>
    <xf numFmtId="0" fontId="37" fillId="0" borderId="0" xfId="8" applyFont="1"/>
    <xf numFmtId="0" fontId="17" fillId="0" borderId="0" xfId="3"/>
    <xf numFmtId="167" fontId="18" fillId="0" borderId="2" xfId="18" applyNumberFormat="1" applyFont="1" applyBorder="1" applyAlignment="1">
      <alignment horizontal="left"/>
    </xf>
    <xf numFmtId="2" fontId="3" fillId="0" borderId="0" xfId="0" applyNumberFormat="1" applyFont="1"/>
    <xf numFmtId="2" fontId="17" fillId="0" borderId="0" xfId="3" applyNumberFormat="1"/>
    <xf numFmtId="2" fontId="36" fillId="31" borderId="0" xfId="14" applyNumberFormat="1"/>
    <xf numFmtId="2" fontId="16" fillId="0" borderId="0" xfId="17" applyNumberFormat="1" applyFont="1"/>
    <xf numFmtId="0" fontId="14" fillId="0" borderId="0" xfId="17" applyFont="1"/>
    <xf numFmtId="0" fontId="20" fillId="26" borderId="2" xfId="17" applyFont="1" applyFill="1" applyBorder="1" applyAlignment="1">
      <alignment horizontal="center" vertical="center" wrapText="1"/>
    </xf>
    <xf numFmtId="0" fontId="14" fillId="0" borderId="2" xfId="17" applyFont="1" applyBorder="1" applyAlignment="1">
      <alignment horizontal="center" vertical="center"/>
    </xf>
    <xf numFmtId="0" fontId="9" fillId="0" borderId="2" xfId="17" applyFont="1" applyBorder="1" applyAlignment="1">
      <alignment horizontal="center" vertical="center"/>
    </xf>
    <xf numFmtId="2" fontId="18" fillId="0" borderId="2" xfId="17" applyNumberFormat="1" applyFont="1" applyBorder="1"/>
    <xf numFmtId="2" fontId="18" fillId="0" borderId="0" xfId="17" applyNumberFormat="1" applyFont="1"/>
    <xf numFmtId="0" fontId="25" fillId="0" borderId="0" xfId="17" applyFont="1"/>
    <xf numFmtId="43" fontId="17" fillId="0" borderId="0" xfId="18" applyFont="1"/>
    <xf numFmtId="3" fontId="0" fillId="0" borderId="0" xfId="0" applyNumberFormat="1"/>
    <xf numFmtId="0" fontId="38" fillId="0" borderId="0" xfId="0" applyFont="1"/>
    <xf numFmtId="3" fontId="4" fillId="0" borderId="0" xfId="0" applyNumberFormat="1" applyFont="1"/>
    <xf numFmtId="0" fontId="5" fillId="0" borderId="0" xfId="0" applyFont="1"/>
    <xf numFmtId="3" fontId="5" fillId="0" borderId="0" xfId="0" applyNumberFormat="1" applyFont="1"/>
    <xf numFmtId="0" fontId="39" fillId="0" borderId="0" xfId="0" applyFont="1"/>
    <xf numFmtId="0" fontId="37" fillId="0" borderId="0" xfId="0" applyFont="1"/>
    <xf numFmtId="3" fontId="37" fillId="0" borderId="0" xfId="0" applyNumberFormat="1" applyFont="1"/>
    <xf numFmtId="0" fontId="40" fillId="4" borderId="1" xfId="0" applyFont="1" applyFill="1" applyBorder="1"/>
    <xf numFmtId="0" fontId="40" fillId="4" borderId="2" xfId="0" applyFont="1" applyFill="1" applyBorder="1" applyAlignment="1">
      <alignment horizontal="center" wrapText="1"/>
    </xf>
    <xf numFmtId="0" fontId="40" fillId="3" borderId="10" xfId="0" applyFont="1" applyFill="1" applyBorder="1"/>
    <xf numFmtId="0" fontId="40" fillId="3" borderId="11" xfId="0" applyFont="1" applyFill="1" applyBorder="1"/>
    <xf numFmtId="0" fontId="40" fillId="3" borderId="12" xfId="0" applyFont="1" applyFill="1" applyBorder="1"/>
    <xf numFmtId="0" fontId="40" fillId="3" borderId="1" xfId="0" applyFont="1" applyFill="1" applyBorder="1" applyAlignment="1">
      <alignment horizontal="center" vertical="center"/>
    </xf>
    <xf numFmtId="0" fontId="41" fillId="3" borderId="33" xfId="0" applyFont="1" applyFill="1" applyBorder="1"/>
    <xf numFmtId="0" fontId="40" fillId="3" borderId="33" xfId="0" applyFont="1" applyFill="1" applyBorder="1"/>
    <xf numFmtId="0" fontId="41" fillId="0" borderId="3" xfId="0" applyFont="1" applyBorder="1" applyAlignment="1">
      <alignment horizontal="center" wrapText="1"/>
    </xf>
    <xf numFmtId="0" fontId="5" fillId="0" borderId="3" xfId="0" applyFont="1" applyBorder="1" applyAlignment="1">
      <alignment wrapText="1"/>
    </xf>
    <xf numFmtId="0" fontId="42" fillId="0" borderId="3" xfId="0" applyFont="1" applyBorder="1"/>
    <xf numFmtId="3" fontId="42" fillId="24" borderId="0" xfId="0" applyNumberFormat="1" applyFont="1" applyFill="1"/>
    <xf numFmtId="0" fontId="5" fillId="0" borderId="15" xfId="0" applyFont="1" applyBorder="1"/>
    <xf numFmtId="0" fontId="5" fillId="0" borderId="4" xfId="0" applyFont="1" applyBorder="1" applyAlignment="1">
      <alignment horizontal="center"/>
    </xf>
    <xf numFmtId="0" fontId="5" fillId="24" borderId="53" xfId="0" applyFont="1" applyFill="1" applyBorder="1"/>
    <xf numFmtId="3" fontId="42" fillId="24" borderId="53" xfId="0" applyNumberFormat="1" applyFont="1" applyFill="1" applyBorder="1"/>
    <xf numFmtId="3" fontId="5" fillId="24" borderId="53" xfId="0" applyNumberFormat="1" applyFont="1" applyFill="1" applyBorder="1"/>
    <xf numFmtId="0" fontId="5" fillId="0" borderId="5" xfId="0" applyFont="1" applyBorder="1"/>
    <xf numFmtId="0" fontId="5" fillId="0" borderId="4" xfId="0" applyFont="1" applyBorder="1" applyAlignment="1">
      <alignment wrapText="1"/>
    </xf>
    <xf numFmtId="0" fontId="5" fillId="0" borderId="5" xfId="0" applyFont="1" applyBorder="1" applyAlignment="1">
      <alignment horizontal="center"/>
    </xf>
    <xf numFmtId="0" fontId="5" fillId="0" borderId="14" xfId="0" applyFont="1" applyBorder="1"/>
    <xf numFmtId="0" fontId="5" fillId="0" borderId="58" xfId="0" applyFont="1" applyBorder="1"/>
    <xf numFmtId="0" fontId="5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6" borderId="3" xfId="0" applyFont="1" applyFill="1" applyBorder="1"/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3" borderId="16" xfId="0" applyFont="1" applyFill="1" applyBorder="1"/>
    <xf numFmtId="0" fontId="5" fillId="0" borderId="6" xfId="0" applyFont="1" applyBorder="1"/>
    <xf numFmtId="0" fontId="5" fillId="0" borderId="7" xfId="0" applyFont="1" applyBorder="1"/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43" fillId="2" borderId="3" xfId="0" applyFont="1" applyFill="1" applyBorder="1" applyAlignment="1">
      <alignment horizontal="left" vertical="center" wrapText="1"/>
    </xf>
    <xf numFmtId="0" fontId="43" fillId="2" borderId="4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0" borderId="8" xfId="0" applyFont="1" applyBorder="1"/>
    <xf numFmtId="0" fontId="5" fillId="3" borderId="20" xfId="0" applyFont="1" applyFill="1" applyBorder="1"/>
    <xf numFmtId="0" fontId="5" fillId="3" borderId="21" xfId="0" applyFont="1" applyFill="1" applyBorder="1"/>
    <xf numFmtId="0" fontId="5" fillId="0" borderId="4" xfId="0" applyFont="1" applyBorder="1" applyAlignment="1">
      <alignment horizontal="right"/>
    </xf>
    <xf numFmtId="0" fontId="5" fillId="3" borderId="0" xfId="0" applyFont="1" applyFill="1"/>
    <xf numFmtId="0" fontId="44" fillId="0" borderId="0" xfId="0" applyFont="1"/>
    <xf numFmtId="0" fontId="45" fillId="0" borderId="0" xfId="0" applyFont="1"/>
    <xf numFmtId="0" fontId="46" fillId="0" borderId="0" xfId="0" applyFont="1"/>
    <xf numFmtId="0" fontId="46" fillId="0" borderId="0" xfId="0" applyFont="1" applyAlignment="1">
      <alignment horizontal="center"/>
    </xf>
    <xf numFmtId="0" fontId="47" fillId="7" borderId="10" xfId="0" applyFont="1" applyFill="1" applyBorder="1" applyAlignment="1">
      <alignment horizontal="center" vertical="center" wrapText="1"/>
    </xf>
    <xf numFmtId="0" fontId="23" fillId="8" borderId="24" xfId="0" applyFont="1" applyFill="1" applyBorder="1" applyAlignment="1">
      <alignment horizontal="center" wrapText="1"/>
    </xf>
    <xf numFmtId="0" fontId="23" fillId="0" borderId="24" xfId="0" applyFont="1" applyBorder="1" applyAlignment="1">
      <alignment horizontal="center" wrapText="1"/>
    </xf>
    <xf numFmtId="0" fontId="48" fillId="9" borderId="24" xfId="0" applyFont="1" applyFill="1" applyBorder="1" applyAlignment="1">
      <alignment wrapText="1"/>
    </xf>
    <xf numFmtId="4" fontId="46" fillId="0" borderId="24" xfId="0" applyNumberFormat="1" applyFont="1" applyBorder="1" applyAlignment="1">
      <alignment horizontal="center" vertical="center"/>
    </xf>
    <xf numFmtId="4" fontId="46" fillId="0" borderId="24" xfId="0" applyNumberFormat="1" applyFont="1" applyBorder="1"/>
    <xf numFmtId="4" fontId="46" fillId="0" borderId="25" xfId="0" applyNumberFormat="1" applyFont="1" applyBorder="1"/>
    <xf numFmtId="0" fontId="46" fillId="10" borderId="26" xfId="0" applyFont="1" applyFill="1" applyBorder="1" applyAlignment="1">
      <alignment wrapText="1"/>
    </xf>
    <xf numFmtId="0" fontId="46" fillId="0" borderId="24" xfId="0" applyFont="1" applyBorder="1" applyAlignment="1">
      <alignment horizontal="center" vertical="center"/>
    </xf>
    <xf numFmtId="0" fontId="46" fillId="0" borderId="24" xfId="0" applyFont="1" applyBorder="1"/>
    <xf numFmtId="0" fontId="46" fillId="0" borderId="27" xfId="0" applyFont="1" applyBorder="1"/>
    <xf numFmtId="0" fontId="48" fillId="3" borderId="24" xfId="0" applyFont="1" applyFill="1" applyBorder="1" applyAlignment="1">
      <alignment wrapText="1"/>
    </xf>
    <xf numFmtId="4" fontId="46" fillId="0" borderId="28" xfId="0" applyNumberFormat="1" applyFont="1" applyBorder="1" applyAlignment="1">
      <alignment horizontal="center" vertical="center"/>
    </xf>
    <xf numFmtId="4" fontId="46" fillId="0" borderId="28" xfId="0" applyNumberFormat="1" applyFont="1" applyBorder="1"/>
    <xf numFmtId="0" fontId="48" fillId="3" borderId="0" xfId="0" applyFont="1" applyFill="1" applyAlignment="1">
      <alignment wrapText="1"/>
    </xf>
    <xf numFmtId="0" fontId="47" fillId="0" borderId="0" xfId="0" applyFont="1"/>
    <xf numFmtId="0" fontId="46" fillId="10" borderId="29" xfId="0" applyFont="1" applyFill="1" applyBorder="1" applyAlignment="1">
      <alignment wrapText="1"/>
    </xf>
    <xf numFmtId="0" fontId="46" fillId="0" borderId="28" xfId="0" applyFont="1" applyBorder="1" applyAlignment="1">
      <alignment horizontal="center" vertical="center"/>
    </xf>
    <xf numFmtId="0" fontId="46" fillId="0" borderId="28" xfId="0" applyFont="1" applyBorder="1"/>
    <xf numFmtId="4" fontId="46" fillId="0" borderId="27" xfId="0" applyNumberFormat="1" applyFont="1" applyBorder="1"/>
    <xf numFmtId="0" fontId="49" fillId="0" borderId="0" xfId="0" applyFont="1"/>
    <xf numFmtId="0" fontId="49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41" fillId="0" borderId="0" xfId="0" applyFont="1" applyAlignment="1">
      <alignment horizontal="justify" vertical="center" wrapText="1"/>
    </xf>
    <xf numFmtId="0" fontId="46" fillId="11" borderId="0" xfId="0" applyFont="1" applyFill="1" applyAlignment="1">
      <alignment horizontal="center" vertical="center"/>
    </xf>
    <xf numFmtId="9" fontId="46" fillId="11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50" fillId="7" borderId="10" xfId="0" applyFont="1" applyFill="1" applyBorder="1" applyAlignment="1">
      <alignment vertical="center" wrapText="1"/>
    </xf>
    <xf numFmtId="0" fontId="51" fillId="0" borderId="30" xfId="0" applyFont="1" applyBorder="1" applyAlignment="1">
      <alignment horizontal="center" vertical="center" wrapText="1"/>
    </xf>
    <xf numFmtId="0" fontId="51" fillId="0" borderId="30" xfId="0" applyFont="1" applyBorder="1" applyAlignment="1">
      <alignment vertical="center" wrapText="1"/>
    </xf>
    <xf numFmtId="0" fontId="46" fillId="0" borderId="2" xfId="0" applyFont="1" applyBorder="1" applyAlignment="1">
      <alignment horizontal="center" vertical="center" textRotation="90" wrapText="1"/>
    </xf>
    <xf numFmtId="0" fontId="46" fillId="12" borderId="6" xfId="0" applyFont="1" applyFill="1" applyBorder="1" applyAlignment="1">
      <alignment vertical="center"/>
    </xf>
    <xf numFmtId="0" fontId="46" fillId="12" borderId="3" xfId="0" applyFont="1" applyFill="1" applyBorder="1" applyAlignment="1">
      <alignment vertical="center"/>
    </xf>
    <xf numFmtId="0" fontId="46" fillId="13" borderId="3" xfId="0" applyFont="1" applyFill="1" applyBorder="1" applyAlignment="1">
      <alignment vertical="center"/>
    </xf>
    <xf numFmtId="0" fontId="46" fillId="14" borderId="3" xfId="0" applyFont="1" applyFill="1" applyBorder="1" applyAlignment="1">
      <alignment vertical="center"/>
    </xf>
    <xf numFmtId="0" fontId="46" fillId="14" borderId="31" xfId="0" applyFont="1" applyFill="1" applyBorder="1" applyAlignment="1">
      <alignment vertical="center"/>
    </xf>
    <xf numFmtId="0" fontId="46" fillId="0" borderId="2" xfId="0" applyFont="1" applyBorder="1" applyAlignment="1">
      <alignment horizontal="center" vertical="center"/>
    </xf>
    <xf numFmtId="0" fontId="46" fillId="0" borderId="2" xfId="0" applyFont="1" applyBorder="1" applyAlignment="1">
      <alignment vertical="center"/>
    </xf>
    <xf numFmtId="0" fontId="51" fillId="0" borderId="20" xfId="0" applyFont="1" applyBorder="1" applyAlignment="1">
      <alignment horizontal="center" vertical="center" wrapText="1"/>
    </xf>
    <xf numFmtId="0" fontId="51" fillId="0" borderId="3" xfId="0" applyFont="1" applyBorder="1" applyAlignment="1">
      <alignment horizontal="center" vertical="center" wrapText="1"/>
    </xf>
    <xf numFmtId="0" fontId="51" fillId="0" borderId="32" xfId="0" applyFont="1" applyBorder="1" applyAlignment="1">
      <alignment horizontal="center" vertical="center" wrapText="1"/>
    </xf>
    <xf numFmtId="0" fontId="51" fillId="0" borderId="33" xfId="0" applyFont="1" applyBorder="1" applyAlignment="1">
      <alignment horizontal="center" vertical="center" wrapText="1"/>
    </xf>
    <xf numFmtId="0" fontId="52" fillId="15" borderId="2" xfId="0" applyFont="1" applyFill="1" applyBorder="1" applyAlignment="1">
      <alignment horizontal="center" vertical="center" wrapText="1"/>
    </xf>
    <xf numFmtId="0" fontId="53" fillId="0" borderId="4" xfId="0" applyFont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0" fontId="51" fillId="16" borderId="34" xfId="0" applyFont="1" applyFill="1" applyBorder="1" applyAlignment="1">
      <alignment horizontal="center" vertical="center" wrapText="1"/>
    </xf>
    <xf numFmtId="0" fontId="51" fillId="0" borderId="35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/>
    </xf>
    <xf numFmtId="0" fontId="46" fillId="0" borderId="36" xfId="0" applyFont="1" applyBorder="1" applyAlignment="1">
      <alignment horizontal="center" vertical="center" wrapText="1"/>
    </xf>
    <xf numFmtId="0" fontId="46" fillId="0" borderId="37" xfId="0" applyFont="1" applyBorder="1" applyAlignment="1">
      <alignment horizontal="center" vertical="center" wrapText="1"/>
    </xf>
    <xf numFmtId="0" fontId="46" fillId="0" borderId="23" xfId="0" applyFont="1" applyBorder="1" applyAlignment="1">
      <alignment horizontal="center" vertical="center" wrapText="1"/>
    </xf>
    <xf numFmtId="0" fontId="46" fillId="0" borderId="2" xfId="0" applyFont="1" applyBorder="1" applyAlignment="1">
      <alignment horizontal="center" vertical="center" wrapText="1"/>
    </xf>
    <xf numFmtId="0" fontId="46" fillId="0" borderId="22" xfId="0" applyFont="1" applyBorder="1" applyAlignment="1">
      <alignment horizontal="center" vertical="center" wrapText="1"/>
    </xf>
    <xf numFmtId="0" fontId="51" fillId="0" borderId="60" xfId="0" applyFont="1" applyBorder="1" applyAlignment="1">
      <alignment horizontal="center" vertical="center" wrapText="1"/>
    </xf>
    <xf numFmtId="0" fontId="23" fillId="11" borderId="38" xfId="0" applyFont="1" applyFill="1" applyBorder="1" applyAlignment="1">
      <alignment wrapText="1"/>
    </xf>
    <xf numFmtId="2" fontId="23" fillId="11" borderId="39" xfId="0" applyNumberFormat="1" applyFont="1" applyFill="1" applyBorder="1"/>
    <xf numFmtId="0" fontId="51" fillId="2" borderId="2" xfId="0" applyFont="1" applyFill="1" applyBorder="1" applyAlignment="1">
      <alignment horizontal="center" vertical="center" wrapText="1"/>
    </xf>
    <xf numFmtId="0" fontId="46" fillId="2" borderId="2" xfId="0" applyFont="1" applyFill="1" applyBorder="1" applyAlignment="1">
      <alignment horizontal="left" vertical="center" wrapText="1"/>
    </xf>
    <xf numFmtId="0" fontId="54" fillId="2" borderId="2" xfId="0" applyFont="1" applyFill="1" applyBorder="1" applyAlignment="1">
      <alignment vertical="center" wrapText="1"/>
    </xf>
    <xf numFmtId="0" fontId="53" fillId="2" borderId="2" xfId="0" applyFont="1" applyFill="1" applyBorder="1" applyAlignment="1">
      <alignment horizontal="center" vertical="center" wrapText="1"/>
    </xf>
    <xf numFmtId="0" fontId="46" fillId="2" borderId="2" xfId="0" applyFont="1" applyFill="1" applyBorder="1" applyAlignment="1">
      <alignment horizontal="center" vertical="center"/>
    </xf>
    <xf numFmtId="0" fontId="51" fillId="13" borderId="2" xfId="0" applyFont="1" applyFill="1" applyBorder="1" applyAlignment="1">
      <alignment horizontal="center" vertical="center"/>
    </xf>
    <xf numFmtId="0" fontId="46" fillId="16" borderId="2" xfId="0" applyFont="1" applyFill="1" applyBorder="1" applyAlignment="1">
      <alignment horizontal="center" vertical="center"/>
    </xf>
    <xf numFmtId="1" fontId="51" fillId="0" borderId="2" xfId="0" applyNumberFormat="1" applyFont="1" applyBorder="1" applyAlignment="1">
      <alignment horizontal="center" vertical="center"/>
    </xf>
    <xf numFmtId="4" fontId="46" fillId="0" borderId="2" xfId="0" applyNumberFormat="1" applyFont="1" applyBorder="1" applyAlignment="1">
      <alignment horizontal="center" vertical="center"/>
    </xf>
    <xf numFmtId="0" fontId="46" fillId="0" borderId="40" xfId="0" applyFont="1" applyBorder="1" applyAlignment="1">
      <alignment horizontal="center"/>
    </xf>
    <xf numFmtId="0" fontId="46" fillId="0" borderId="41" xfId="0" applyFont="1" applyBorder="1" applyAlignment="1">
      <alignment horizontal="center" vertical="center"/>
    </xf>
    <xf numFmtId="4" fontId="46" fillId="0" borderId="23" xfId="0" applyNumberFormat="1" applyFont="1" applyBorder="1" applyAlignment="1">
      <alignment horizontal="center" vertical="center"/>
    </xf>
    <xf numFmtId="4" fontId="46" fillId="0" borderId="22" xfId="0" applyNumberFormat="1" applyFont="1" applyBorder="1" applyAlignment="1">
      <alignment horizontal="center" vertical="center"/>
    </xf>
    <xf numFmtId="4" fontId="51" fillId="0" borderId="61" xfId="0" applyNumberFormat="1" applyFont="1" applyBorder="1" applyAlignment="1">
      <alignment horizontal="center" vertical="center"/>
    </xf>
    <xf numFmtId="0" fontId="46" fillId="13" borderId="2" xfId="0" applyFont="1" applyFill="1" applyBorder="1" applyAlignment="1">
      <alignment horizontal="center" vertical="center"/>
    </xf>
    <xf numFmtId="0" fontId="51" fillId="2" borderId="40" xfId="0" applyFont="1" applyFill="1" applyBorder="1" applyAlignment="1">
      <alignment horizontal="left" vertical="center" wrapText="1"/>
    </xf>
    <xf numFmtId="0" fontId="51" fillId="2" borderId="0" xfId="0" applyFont="1" applyFill="1" applyAlignment="1">
      <alignment horizontal="center" vertical="center" wrapText="1"/>
    </xf>
    <xf numFmtId="0" fontId="53" fillId="0" borderId="2" xfId="0" applyFont="1" applyBorder="1" applyAlignment="1">
      <alignment horizontal="center" vertical="center" wrapText="1"/>
    </xf>
    <xf numFmtId="0" fontId="19" fillId="25" borderId="2" xfId="0" applyFont="1" applyFill="1" applyBorder="1" applyAlignment="1">
      <alignment horizontal="center" vertical="center" wrapText="1"/>
    </xf>
    <xf numFmtId="0" fontId="46" fillId="2" borderId="0" xfId="0" applyFont="1" applyFill="1"/>
    <xf numFmtId="0" fontId="55" fillId="0" borderId="0" xfId="0" applyFont="1"/>
    <xf numFmtId="0" fontId="51" fillId="0" borderId="40" xfId="0" applyFont="1" applyBorder="1" applyAlignment="1">
      <alignment horizontal="center"/>
    </xf>
    <xf numFmtId="0" fontId="51" fillId="2" borderId="2" xfId="0" applyFont="1" applyFill="1" applyBorder="1" applyAlignment="1">
      <alignment horizontal="center" vertical="center"/>
    </xf>
    <xf numFmtId="0" fontId="46" fillId="18" borderId="2" xfId="0" applyFont="1" applyFill="1" applyBorder="1" applyAlignment="1">
      <alignment horizontal="center" vertical="center"/>
    </xf>
    <xf numFmtId="0" fontId="51" fillId="7" borderId="0" xfId="0" applyFont="1" applyFill="1" applyAlignment="1">
      <alignment horizontal="center" vertical="center" wrapText="1"/>
    </xf>
    <xf numFmtId="0" fontId="51" fillId="7" borderId="40" xfId="0" applyFont="1" applyFill="1" applyBorder="1" applyAlignment="1">
      <alignment horizontal="left" vertical="center" wrapText="1"/>
    </xf>
    <xf numFmtId="0" fontId="51" fillId="7" borderId="2" xfId="0" applyFont="1" applyFill="1" applyBorder="1" applyAlignment="1">
      <alignment horizontal="center" vertical="center" wrapText="1"/>
    </xf>
    <xf numFmtId="0" fontId="46" fillId="7" borderId="2" xfId="0" applyFont="1" applyFill="1" applyBorder="1" applyAlignment="1">
      <alignment horizontal="left" vertical="center" wrapText="1"/>
    </xf>
    <xf numFmtId="0" fontId="54" fillId="7" borderId="2" xfId="0" applyFont="1" applyFill="1" applyBorder="1" applyAlignment="1">
      <alignment vertical="center" wrapText="1"/>
    </xf>
    <xf numFmtId="0" fontId="53" fillId="7" borderId="2" xfId="0" applyFont="1" applyFill="1" applyBorder="1" applyAlignment="1">
      <alignment horizontal="center" vertical="center" wrapText="1"/>
    </xf>
    <xf numFmtId="0" fontId="46" fillId="7" borderId="2" xfId="0" applyFont="1" applyFill="1" applyBorder="1" applyAlignment="1">
      <alignment horizontal="center" vertical="center"/>
    </xf>
    <xf numFmtId="0" fontId="51" fillId="7" borderId="2" xfId="0" applyFont="1" applyFill="1" applyBorder="1" applyAlignment="1">
      <alignment horizontal="center" vertical="center"/>
    </xf>
    <xf numFmtId="1" fontId="51" fillId="7" borderId="2" xfId="0" applyNumberFormat="1" applyFont="1" applyFill="1" applyBorder="1" applyAlignment="1">
      <alignment horizontal="center" vertical="center"/>
    </xf>
    <xf numFmtId="4" fontId="46" fillId="7" borderId="2" xfId="0" applyNumberFormat="1" applyFont="1" applyFill="1" applyBorder="1" applyAlignment="1">
      <alignment horizontal="center" vertical="center"/>
    </xf>
    <xf numFmtId="0" fontId="46" fillId="7" borderId="40" xfId="0" applyFont="1" applyFill="1" applyBorder="1" applyAlignment="1">
      <alignment horizontal="center"/>
    </xf>
    <xf numFmtId="0" fontId="46" fillId="7" borderId="41" xfId="0" applyFont="1" applyFill="1" applyBorder="1" applyAlignment="1">
      <alignment horizontal="center" vertical="center"/>
    </xf>
    <xf numFmtId="4" fontId="46" fillId="7" borderId="23" xfId="0" applyNumberFormat="1" applyFont="1" applyFill="1" applyBorder="1" applyAlignment="1">
      <alignment horizontal="center" vertical="center"/>
    </xf>
    <xf numFmtId="4" fontId="46" fillId="7" borderId="22" xfId="0" applyNumberFormat="1" applyFont="1" applyFill="1" applyBorder="1" applyAlignment="1">
      <alignment horizontal="center" vertical="center"/>
    </xf>
    <xf numFmtId="0" fontId="56" fillId="7" borderId="10" xfId="0" applyFont="1" applyFill="1" applyBorder="1" applyAlignment="1">
      <alignment vertical="center" wrapText="1"/>
    </xf>
    <xf numFmtId="4" fontId="51" fillId="0" borderId="42" xfId="0" applyNumberFormat="1" applyFont="1" applyBorder="1" applyAlignment="1">
      <alignment horizontal="center" vertical="center"/>
    </xf>
    <xf numFmtId="4" fontId="46" fillId="0" borderId="0" xfId="0" applyNumberFormat="1" applyFont="1" applyAlignment="1">
      <alignment horizontal="center" vertical="center"/>
    </xf>
    <xf numFmtId="1" fontId="51" fillId="2" borderId="2" xfId="0" applyNumberFormat="1" applyFont="1" applyFill="1" applyBorder="1" applyAlignment="1">
      <alignment horizontal="center" vertical="center"/>
    </xf>
    <xf numFmtId="4" fontId="46" fillId="2" borderId="2" xfId="0" applyNumberFormat="1" applyFont="1" applyFill="1" applyBorder="1" applyAlignment="1">
      <alignment horizontal="center" vertical="center"/>
    </xf>
    <xf numFmtId="0" fontId="46" fillId="2" borderId="40" xfId="0" applyFont="1" applyFill="1" applyBorder="1" applyAlignment="1">
      <alignment horizontal="center"/>
    </xf>
    <xf numFmtId="0" fontId="46" fillId="2" borderId="41" xfId="0" applyFont="1" applyFill="1" applyBorder="1" applyAlignment="1">
      <alignment horizontal="center" vertical="center"/>
    </xf>
    <xf numFmtId="4" fontId="46" fillId="2" borderId="23" xfId="0" applyNumberFormat="1" applyFont="1" applyFill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59" fillId="0" borderId="43" xfId="0" applyFont="1" applyBorder="1" applyAlignment="1">
      <alignment horizontal="center" vertical="center" wrapText="1"/>
    </xf>
    <xf numFmtId="0" fontId="60" fillId="0" borderId="44" xfId="0" applyFont="1" applyBorder="1" applyAlignment="1">
      <alignment horizontal="center" vertical="center" wrapText="1"/>
    </xf>
    <xf numFmtId="0" fontId="60" fillId="0" borderId="45" xfId="0" applyFont="1" applyBorder="1" applyAlignment="1">
      <alignment horizontal="center" vertical="center" wrapText="1"/>
    </xf>
    <xf numFmtId="0" fontId="60" fillId="19" borderId="43" xfId="0" applyFont="1" applyFill="1" applyBorder="1" applyAlignment="1">
      <alignment horizontal="center" vertical="center" wrapText="1"/>
    </xf>
    <xf numFmtId="0" fontId="60" fillId="13" borderId="46" xfId="0" applyFont="1" applyFill="1" applyBorder="1" applyAlignment="1">
      <alignment horizontal="center" vertical="center" wrapText="1"/>
    </xf>
    <xf numFmtId="0" fontId="59" fillId="0" borderId="47" xfId="0" applyFont="1" applyBorder="1" applyAlignment="1">
      <alignment horizontal="center" vertical="center" wrapText="1"/>
    </xf>
    <xf numFmtId="0" fontId="59" fillId="0" borderId="44" xfId="0" applyFont="1" applyBorder="1" applyAlignment="1">
      <alignment horizontal="center" vertical="center" wrapText="1"/>
    </xf>
    <xf numFmtId="0" fontId="59" fillId="0" borderId="46" xfId="0" applyFont="1" applyBorder="1" applyAlignment="1">
      <alignment horizontal="center" vertical="center" wrapText="1"/>
    </xf>
    <xf numFmtId="0" fontId="61" fillId="0" borderId="48" xfId="0" applyFont="1" applyBorder="1" applyAlignment="1">
      <alignment vertical="center" wrapText="1"/>
    </xf>
    <xf numFmtId="0" fontId="18" fillId="20" borderId="9" xfId="0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11" borderId="0" xfId="0" applyFont="1" applyFill="1" applyAlignment="1">
      <alignment horizontal="center"/>
    </xf>
    <xf numFmtId="0" fontId="18" fillId="21" borderId="9" xfId="0" applyFont="1" applyFill="1" applyBorder="1" applyAlignment="1">
      <alignment horizontal="center" vertical="center" wrapText="1"/>
    </xf>
    <xf numFmtId="0" fontId="18" fillId="0" borderId="49" xfId="0" applyFont="1" applyBorder="1" applyAlignment="1">
      <alignment horizontal="center"/>
    </xf>
    <xf numFmtId="0" fontId="18" fillId="0" borderId="48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18" fillId="21" borderId="9" xfId="0" applyFont="1" applyFill="1" applyBorder="1" applyAlignment="1">
      <alignment horizontal="center"/>
    </xf>
    <xf numFmtId="0" fontId="18" fillId="0" borderId="50" xfId="0" applyFont="1" applyBorder="1" applyAlignment="1">
      <alignment horizontal="center"/>
    </xf>
    <xf numFmtId="4" fontId="46" fillId="0" borderId="0" xfId="0" applyNumberFormat="1" applyFont="1"/>
    <xf numFmtId="0" fontId="18" fillId="0" borderId="40" xfId="0" applyFont="1" applyBorder="1"/>
    <xf numFmtId="0" fontId="18" fillId="0" borderId="2" xfId="0" applyFont="1" applyBorder="1" applyAlignment="1">
      <alignment horizontal="center" vertical="center" wrapText="1"/>
    </xf>
    <xf numFmtId="0" fontId="18" fillId="11" borderId="2" xfId="0" applyFont="1" applyFill="1" applyBorder="1" applyAlignment="1">
      <alignment horizontal="center" vertical="center" wrapText="1"/>
    </xf>
    <xf numFmtId="0" fontId="18" fillId="9" borderId="2" xfId="0" applyFont="1" applyFill="1" applyBorder="1" applyAlignment="1">
      <alignment horizontal="center" vertical="center" wrapText="1"/>
    </xf>
    <xf numFmtId="0" fontId="18" fillId="0" borderId="51" xfId="0" applyFont="1" applyBorder="1" applyAlignment="1">
      <alignment horizontal="center"/>
    </xf>
    <xf numFmtId="0" fontId="18" fillId="0" borderId="40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41" xfId="0" applyFont="1" applyBorder="1" applyAlignment="1">
      <alignment horizontal="center"/>
    </xf>
    <xf numFmtId="0" fontId="18" fillId="0" borderId="0" xfId="0" applyFont="1"/>
    <xf numFmtId="0" fontId="61" fillId="0" borderId="40" xfId="0" applyFont="1" applyBorder="1" applyAlignment="1">
      <alignment vertical="center" wrapText="1"/>
    </xf>
    <xf numFmtId="0" fontId="18" fillId="22" borderId="2" xfId="0" applyFont="1" applyFill="1" applyBorder="1" applyAlignment="1">
      <alignment horizontal="center" vertical="center" wrapText="1"/>
    </xf>
    <xf numFmtId="0" fontId="18" fillId="21" borderId="2" xfId="0" applyFont="1" applyFill="1" applyBorder="1" applyAlignment="1">
      <alignment horizontal="center"/>
    </xf>
    <xf numFmtId="0" fontId="18" fillId="23" borderId="2" xfId="0" applyFont="1" applyFill="1" applyBorder="1" applyAlignment="1">
      <alignment horizontal="center" vertical="center"/>
    </xf>
    <xf numFmtId="0" fontId="18" fillId="11" borderId="23" xfId="0" applyFont="1" applyFill="1" applyBorder="1" applyAlignment="1">
      <alignment horizontal="center" vertical="center" wrapText="1"/>
    </xf>
    <xf numFmtId="0" fontId="18" fillId="23" borderId="41" xfId="0" applyFont="1" applyFill="1" applyBorder="1" applyAlignment="1">
      <alignment horizontal="center"/>
    </xf>
    <xf numFmtId="0" fontId="18" fillId="0" borderId="35" xfId="0" applyFont="1" applyBorder="1"/>
    <xf numFmtId="0" fontId="18" fillId="0" borderId="52" xfId="0" applyFont="1" applyBorder="1" applyAlignment="1">
      <alignment horizontal="center"/>
    </xf>
    <xf numFmtId="0" fontId="18" fillId="0" borderId="35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34" xfId="0" applyFont="1" applyBorder="1" applyAlignment="1">
      <alignment horizontal="center"/>
    </xf>
    <xf numFmtId="0" fontId="62" fillId="0" borderId="43" xfId="0" applyFont="1" applyBorder="1" applyAlignment="1">
      <alignment horizontal="center"/>
    </xf>
    <xf numFmtId="0" fontId="62" fillId="0" borderId="44" xfId="0" applyFont="1" applyBorder="1" applyAlignment="1">
      <alignment horizontal="center" vertical="center" wrapText="1"/>
    </xf>
    <xf numFmtId="0" fontId="62" fillId="0" borderId="47" xfId="0" applyFont="1" applyBorder="1" applyAlignment="1">
      <alignment horizontal="center" vertical="center" wrapText="1"/>
    </xf>
    <xf numFmtId="0" fontId="62" fillId="12" borderId="43" xfId="0" applyFont="1" applyFill="1" applyBorder="1" applyAlignment="1">
      <alignment horizontal="center"/>
    </xf>
    <xf numFmtId="0" fontId="62" fillId="12" borderId="44" xfId="0" applyFont="1" applyFill="1" applyBorder="1" applyAlignment="1">
      <alignment horizontal="center"/>
    </xf>
    <xf numFmtId="0" fontId="62" fillId="21" borderId="44" xfId="0" applyFont="1" applyFill="1" applyBorder="1" applyAlignment="1">
      <alignment horizontal="center"/>
    </xf>
    <xf numFmtId="0" fontId="62" fillId="23" borderId="46" xfId="0" applyFont="1" applyFill="1" applyBorder="1" applyAlignment="1">
      <alignment horizontal="center"/>
    </xf>
    <xf numFmtId="0" fontId="18" fillId="0" borderId="43" xfId="0" applyFont="1" applyBorder="1"/>
    <xf numFmtId="0" fontId="18" fillId="12" borderId="44" xfId="0" applyFont="1" applyFill="1" applyBorder="1" applyAlignment="1">
      <alignment horizontal="center" vertical="center" wrapText="1"/>
    </xf>
    <xf numFmtId="0" fontId="62" fillId="12" borderId="53" xfId="0" applyFont="1" applyFill="1" applyBorder="1" applyAlignment="1">
      <alignment horizontal="center"/>
    </xf>
    <xf numFmtId="0" fontId="18" fillId="19" borderId="48" xfId="0" applyFont="1" applyFill="1" applyBorder="1"/>
    <xf numFmtId="0" fontId="18" fillId="0" borderId="9" xfId="0" applyFont="1" applyBorder="1" applyAlignment="1">
      <alignment horizontal="center" vertical="center" wrapText="1"/>
    </xf>
    <xf numFmtId="0" fontId="18" fillId="19" borderId="9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59" fillId="19" borderId="5" xfId="0" applyFont="1" applyFill="1" applyBorder="1" applyAlignment="1">
      <alignment horizontal="center" vertical="center" wrapText="1"/>
    </xf>
    <xf numFmtId="0" fontId="18" fillId="13" borderId="40" xfId="0" applyFont="1" applyFill="1" applyBorder="1"/>
    <xf numFmtId="0" fontId="18" fillId="13" borderId="22" xfId="0" applyFont="1" applyFill="1" applyBorder="1" applyAlignment="1">
      <alignment horizontal="center" vertical="center" wrapText="1"/>
    </xf>
    <xf numFmtId="0" fontId="59" fillId="13" borderId="8" xfId="0" applyFont="1" applyFill="1" applyBorder="1" applyAlignment="1">
      <alignment horizontal="center" vertical="center" wrapText="1"/>
    </xf>
    <xf numFmtId="0" fontId="18" fillId="21" borderId="40" xfId="0" applyFont="1" applyFill="1" applyBorder="1"/>
    <xf numFmtId="0" fontId="18" fillId="21" borderId="2" xfId="0" applyFont="1" applyFill="1" applyBorder="1" applyAlignment="1">
      <alignment horizontal="center" vertical="center" wrapText="1"/>
    </xf>
    <xf numFmtId="0" fontId="18" fillId="21" borderId="22" xfId="0" applyFont="1" applyFill="1" applyBorder="1" applyAlignment="1">
      <alignment horizontal="center" vertical="center" wrapText="1"/>
    </xf>
    <xf numFmtId="0" fontId="62" fillId="21" borderId="53" xfId="0" applyFont="1" applyFill="1" applyBorder="1" applyAlignment="1">
      <alignment horizontal="center"/>
    </xf>
    <xf numFmtId="0" fontId="18" fillId="23" borderId="54" xfId="0" applyFont="1" applyFill="1" applyBorder="1"/>
    <xf numFmtId="0" fontId="18" fillId="0" borderId="55" xfId="0" applyFont="1" applyBorder="1" applyAlignment="1">
      <alignment horizontal="center" vertical="center" wrapText="1"/>
    </xf>
    <xf numFmtId="0" fontId="18" fillId="0" borderId="55" xfId="0" applyFont="1" applyBorder="1" applyAlignment="1">
      <alignment horizontal="center"/>
    </xf>
    <xf numFmtId="0" fontId="18" fillId="23" borderId="55" xfId="0" applyFont="1" applyFill="1" applyBorder="1" applyAlignment="1">
      <alignment horizontal="center" vertical="center" wrapText="1"/>
    </xf>
    <xf numFmtId="0" fontId="18" fillId="0" borderId="56" xfId="0" applyFont="1" applyBorder="1" applyAlignment="1">
      <alignment horizontal="center" vertical="center" wrapText="1"/>
    </xf>
    <xf numFmtId="0" fontId="62" fillId="23" borderId="53" xfId="0" applyFont="1" applyFill="1" applyBorder="1" applyAlignment="1">
      <alignment horizontal="center"/>
    </xf>
    <xf numFmtId="3" fontId="5" fillId="2" borderId="0" xfId="0" applyNumberFormat="1" applyFont="1" applyFill="1"/>
    <xf numFmtId="2" fontId="18" fillId="2" borderId="2" xfId="4" applyNumberFormat="1" applyFont="1" applyFill="1" applyBorder="1" applyAlignment="1">
      <alignment horizontal="left"/>
    </xf>
    <xf numFmtId="2" fontId="18" fillId="2" borderId="2" xfId="17" applyNumberFormat="1" applyFont="1" applyFill="1" applyBorder="1"/>
    <xf numFmtId="2" fontId="18" fillId="2" borderId="0" xfId="17" applyNumberFormat="1" applyFont="1" applyFill="1"/>
    <xf numFmtId="2" fontId="18" fillId="2" borderId="22" xfId="4" applyNumberFormat="1" applyFont="1" applyFill="1" applyBorder="1" applyAlignment="1">
      <alignment horizontal="left"/>
    </xf>
    <xf numFmtId="0" fontId="9" fillId="24" borderId="2" xfId="0" applyFont="1" applyFill="1" applyBorder="1" applyAlignment="1">
      <alignment horizontal="center" vertical="center" wrapText="1"/>
    </xf>
    <xf numFmtId="0" fontId="0" fillId="24" borderId="2" xfId="0" applyFill="1" applyBorder="1" applyAlignment="1">
      <alignment horizontal="center" vertical="center" wrapText="1"/>
    </xf>
    <xf numFmtId="0" fontId="0" fillId="24" borderId="2" xfId="0" applyFill="1" applyBorder="1" applyAlignment="1">
      <alignment horizontal="center" vertical="center"/>
    </xf>
    <xf numFmtId="3" fontId="40" fillId="24" borderId="57" xfId="0" applyNumberFormat="1" applyFont="1" applyFill="1" applyBorder="1" applyAlignment="1">
      <alignment horizontal="center" wrapText="1"/>
    </xf>
    <xf numFmtId="3" fontId="7" fillId="24" borderId="0" xfId="0" applyNumberFormat="1" applyFont="1" applyFill="1" applyAlignment="1">
      <alignment horizontal="center" vertical="center" wrapText="1"/>
    </xf>
    <xf numFmtId="3" fontId="40" fillId="24" borderId="0" xfId="0" applyNumberFormat="1" applyFont="1" applyFill="1" applyAlignment="1">
      <alignment horizontal="center" vertical="center" wrapText="1"/>
    </xf>
    <xf numFmtId="0" fontId="42" fillId="3" borderId="1" xfId="0" applyFont="1" applyFill="1" applyBorder="1" applyAlignment="1">
      <alignment horizontal="center"/>
    </xf>
    <xf numFmtId="0" fontId="40" fillId="4" borderId="22" xfId="0" applyFont="1" applyFill="1" applyBorder="1" applyAlignment="1">
      <alignment horizontal="center" wrapText="1"/>
    </xf>
    <xf numFmtId="0" fontId="40" fillId="4" borderId="23" xfId="0" applyFont="1" applyFill="1" applyBorder="1" applyAlignment="1">
      <alignment horizontal="center" wrapText="1"/>
    </xf>
    <xf numFmtId="0" fontId="40" fillId="3" borderId="57" xfId="0" applyFont="1" applyFill="1" applyBorder="1" applyAlignment="1">
      <alignment horizontal="center"/>
    </xf>
    <xf numFmtId="0" fontId="40" fillId="3" borderId="0" xfId="0" applyFont="1" applyFill="1" applyAlignment="1">
      <alignment horizontal="center"/>
    </xf>
    <xf numFmtId="0" fontId="40" fillId="3" borderId="32" xfId="0" applyFont="1" applyFill="1" applyBorder="1" applyAlignment="1">
      <alignment horizontal="center"/>
    </xf>
    <xf numFmtId="0" fontId="42" fillId="3" borderId="17" xfId="0" applyFont="1" applyFill="1" applyBorder="1" applyAlignment="1">
      <alignment horizontal="center"/>
    </xf>
    <xf numFmtId="0" fontId="42" fillId="3" borderId="18" xfId="0" applyFont="1" applyFill="1" applyBorder="1" applyAlignment="1">
      <alignment horizontal="center"/>
    </xf>
    <xf numFmtId="0" fontId="42" fillId="3" borderId="19" xfId="0" applyFont="1" applyFill="1" applyBorder="1" applyAlignment="1">
      <alignment horizontal="center"/>
    </xf>
    <xf numFmtId="0" fontId="42" fillId="3" borderId="12" xfId="0" applyFont="1" applyFill="1" applyBorder="1" applyAlignment="1">
      <alignment horizontal="center"/>
    </xf>
    <xf numFmtId="0" fontId="42" fillId="3" borderId="10" xfId="0" applyFont="1" applyFill="1" applyBorder="1" applyAlignment="1">
      <alignment horizontal="center"/>
    </xf>
    <xf numFmtId="0" fontId="57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 wrapText="1"/>
    </xf>
    <xf numFmtId="0" fontId="51" fillId="0" borderId="7" xfId="0" applyFont="1" applyBorder="1" applyAlignment="1">
      <alignment horizontal="center" vertical="center" wrapText="1"/>
    </xf>
    <xf numFmtId="0" fontId="18" fillId="0" borderId="2" xfId="2" applyFont="1" applyBorder="1" applyAlignment="1">
      <alignment horizontal="left" vertical="center" wrapText="1"/>
    </xf>
    <xf numFmtId="0" fontId="18" fillId="0" borderId="2" xfId="2" applyFont="1" applyBorder="1" applyAlignment="1">
      <alignment horizontal="left" vertical="center"/>
    </xf>
    <xf numFmtId="2" fontId="21" fillId="0" borderId="2" xfId="8" applyNumberFormat="1" applyFont="1" applyBorder="1" applyAlignment="1">
      <alignment horizontal="center"/>
    </xf>
    <xf numFmtId="2" fontId="27" fillId="0" borderId="59" xfId="8" applyNumberFormat="1" applyFont="1" applyBorder="1" applyAlignment="1">
      <alignment horizontal="center"/>
    </xf>
    <xf numFmtId="4" fontId="33" fillId="0" borderId="22" xfId="2" applyNumberFormat="1" applyFont="1" applyBorder="1" applyAlignment="1" applyProtection="1">
      <alignment horizontal="center" vertical="center" wrapText="1"/>
      <protection locked="0"/>
    </xf>
    <xf numFmtId="4" fontId="33" fillId="0" borderId="30" xfId="2" applyNumberFormat="1" applyFont="1" applyBorder="1" applyAlignment="1" applyProtection="1">
      <alignment horizontal="center" vertical="center" wrapText="1"/>
      <protection locked="0"/>
    </xf>
    <xf numFmtId="4" fontId="33" fillId="0" borderId="23" xfId="2" applyNumberFormat="1" applyFont="1" applyBorder="1" applyAlignment="1" applyProtection="1">
      <alignment horizontal="center" vertical="center" wrapText="1"/>
      <protection locked="0"/>
    </xf>
  </cellXfs>
  <cellStyles count="19">
    <cellStyle name="Bad" xfId="14" builtinId="27"/>
    <cellStyle name="Comma" xfId="18" builtinId="3"/>
    <cellStyle name="Comma 2 2" xfId="5" xr:uid="{16692113-1141-47CC-ADA5-D81BE2B6C92E}"/>
    <cellStyle name="Comma 2 2 2" xfId="9" xr:uid="{963C13DB-60FC-478C-85D9-1E99C3ACBFBC}"/>
    <cellStyle name="Comma 2 2 3" xfId="10" xr:uid="{724726E7-201E-4954-B812-417C039BEF88}"/>
    <cellStyle name="Comma 2 2 4" xfId="13" xr:uid="{58EFE4F6-998E-4A24-AD3E-07E58F1CD74F}"/>
    <cellStyle name="Normal" xfId="0" builtinId="0"/>
    <cellStyle name="Normal 10 2 2" xfId="2" xr:uid="{2C5A1F36-4B57-428C-82FD-1CA1105D3D00}"/>
    <cellStyle name="Normal 10 2 3" xfId="12" xr:uid="{F23145D4-70A0-4930-BC3E-3F4936E77701}"/>
    <cellStyle name="Normal 10 2 3 2" xfId="17" xr:uid="{41EAE19D-F40D-419C-9F85-CEE45C05D0D0}"/>
    <cellStyle name="Normal 12" xfId="7" xr:uid="{D4FBF20F-B3BA-495F-A6FB-C89374C05A7E}"/>
    <cellStyle name="Normal 2" xfId="1" xr:uid="{C282704F-C8B0-45D2-A7F9-B58260680A7F}"/>
    <cellStyle name="Normal 2 2" xfId="4" xr:uid="{838F207E-8A1C-44C7-967E-58B15CB9ECA9}"/>
    <cellStyle name="Normal 2 2 3" xfId="3" xr:uid="{CD412503-DC99-496E-90F2-EAB844E97132}"/>
    <cellStyle name="Normal 2 3" xfId="15" xr:uid="{94ED1FCB-4D6A-4279-BB6C-20DF670E5FAF}"/>
    <cellStyle name="Normal 3" xfId="6" xr:uid="{BAEEAC9E-05D9-4890-82B1-A7C4C369B7E0}"/>
    <cellStyle name="Normal 3 2" xfId="16" xr:uid="{0BD4FF5D-C5B8-496D-8E38-73B853517F2A}"/>
    <cellStyle name="Normal 3 2 2" xfId="11" xr:uid="{9E6C1FAF-FEEC-49D9-897E-3AAFE5079F26}"/>
    <cellStyle name="Parasts 2" xfId="8" xr:uid="{C18F5A83-E30A-41FD-9FA9-861D1259D249}"/>
  </cellStyles>
  <dxfs count="2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11E63-E780-4527-9D71-C83E3E1BE208}">
  <dimension ref="A1:F37"/>
  <sheetViews>
    <sheetView tabSelected="1" view="pageBreakPreview" zoomScaleNormal="100" zoomScaleSheetLayoutView="100" workbookViewId="0">
      <selection activeCell="B8" sqref="B8"/>
    </sheetView>
  </sheetViews>
  <sheetFormatPr defaultRowHeight="14.5" x14ac:dyDescent="0.35"/>
  <cols>
    <col min="1" max="1" width="45.7265625" customWidth="1"/>
    <col min="2" max="2" width="20.453125" customWidth="1"/>
    <col min="3" max="3" width="25.453125" customWidth="1"/>
    <col min="4" max="4" width="24.7265625" customWidth="1"/>
    <col min="5" max="5" width="23.81640625" customWidth="1"/>
    <col min="6" max="6" width="26.7265625" customWidth="1"/>
  </cols>
  <sheetData>
    <row r="1" spans="1:6" x14ac:dyDescent="0.35">
      <c r="E1" t="s">
        <v>319</v>
      </c>
    </row>
    <row r="2" spans="1:6" x14ac:dyDescent="0.35">
      <c r="B2" s="152" t="s">
        <v>330</v>
      </c>
    </row>
    <row r="4" spans="1:6" ht="43.5" x14ac:dyDescent="0.35">
      <c r="B4" s="381" t="s">
        <v>180</v>
      </c>
      <c r="C4" s="379" t="s">
        <v>327</v>
      </c>
      <c r="D4" s="380" t="s">
        <v>181</v>
      </c>
      <c r="E4" s="380" t="s">
        <v>182</v>
      </c>
      <c r="F4" s="379" t="s">
        <v>328</v>
      </c>
    </row>
    <row r="5" spans="1:6" x14ac:dyDescent="0.35">
      <c r="A5" s="21" t="str">
        <f>'Specialisti - aprekini_jaunais'!B9</f>
        <v>Rīgas Austrumu klīniskā universitātes slimnīca</v>
      </c>
      <c r="B5" s="25">
        <f>'Specialisti - aprekini_jaunais'!E22</f>
        <v>26021335</v>
      </c>
      <c r="C5" s="26">
        <f>'Specialisti - aprekini_jaunais'!F22</f>
        <v>19752870</v>
      </c>
      <c r="D5" s="25">
        <f>'Specialisti - aprekini_jaunais'!G22</f>
        <v>5174010</v>
      </c>
      <c r="E5" s="25">
        <f>'Specialisti - aprekini_jaunais'!H22</f>
        <v>1094455</v>
      </c>
      <c r="F5" s="19">
        <f>D5+E5</f>
        <v>6268465</v>
      </c>
    </row>
    <row r="6" spans="1:6" x14ac:dyDescent="0.35">
      <c r="A6" s="17" t="str">
        <f>'Specialisti - aprekini_jaunais'!B23</f>
        <v>Paula Stradiņa klīniskā universitātes slimnīca</v>
      </c>
      <c r="B6" s="22">
        <f>'Specialisti - aprekini_jaunais'!E39</f>
        <v>19610108.145579375</v>
      </c>
      <c r="C6" s="23">
        <f>'Specialisti - aprekini_jaunais'!F39</f>
        <v>15085647</v>
      </c>
      <c r="D6" s="22">
        <f>'Specialisti - aprekini_jaunais'!G39</f>
        <v>3827630.1911250004</v>
      </c>
      <c r="E6" s="24">
        <f>'Specialisti - aprekini_jaunais'!H39</f>
        <v>696830.95445437508</v>
      </c>
      <c r="F6" s="23">
        <f t="shared" ref="F6:F34" si="0">D6+E6</f>
        <v>4524461.1455793753</v>
      </c>
    </row>
    <row r="7" spans="1:6" x14ac:dyDescent="0.35">
      <c r="A7" s="17" t="str">
        <f>'Specialisti - aprekini_jaunais'!B40</f>
        <v>Bērnu klīniskā universitātes slimnīca</v>
      </c>
      <c r="B7" s="18">
        <f>'Specialisti - aprekini_jaunais'!E57</f>
        <v>11526889.714152126</v>
      </c>
      <c r="C7" s="19">
        <f>'Specialisti - aprekini_jaunais'!F57</f>
        <v>10133954</v>
      </c>
      <c r="D7" s="18">
        <f>'Specialisti - aprekini_jaunais'!G57</f>
        <v>1280110.3058249999</v>
      </c>
      <c r="E7" s="20">
        <f>'Specialisti - aprekini_jaunais'!H57</f>
        <v>112825.40832712498</v>
      </c>
      <c r="F7" s="19">
        <f t="shared" si="0"/>
        <v>1392935.7141521249</v>
      </c>
    </row>
    <row r="8" spans="1:6" x14ac:dyDescent="0.35">
      <c r="A8" s="17" t="str">
        <f>'Specialisti - aprekini_jaunais'!B58</f>
        <v>Rīgas Dzemdību nams</v>
      </c>
      <c r="B8" s="18">
        <f>'Specialisti - aprekini_jaunais'!E75</f>
        <v>3578236.8804950505</v>
      </c>
      <c r="C8" s="19">
        <f>'Specialisti - aprekini_jaunais'!F75</f>
        <v>1907431</v>
      </c>
      <c r="D8" s="18">
        <f>'Specialisti - aprekini_jaunais'!G75</f>
        <v>1360462.8850312503</v>
      </c>
      <c r="E8" s="20">
        <f>'Specialisti - aprekini_jaunais'!H75</f>
        <v>310342.99546379998</v>
      </c>
      <c r="F8" s="19">
        <f t="shared" si="0"/>
        <v>1670805.8804950502</v>
      </c>
    </row>
    <row r="9" spans="1:6" x14ac:dyDescent="0.35">
      <c r="A9" s="17" t="str">
        <f>'Specialisti - aprekini_jaunais'!B76</f>
        <v>Traumatoloģijas un ortopēdijas slimnīca</v>
      </c>
      <c r="B9" s="18">
        <f>'Specialisti - aprekini_jaunais'!E93</f>
        <v>6574686.7619367</v>
      </c>
      <c r="C9" s="19">
        <f>'Specialisti - aprekini_jaunais'!F93</f>
        <v>6057723</v>
      </c>
      <c r="D9" s="18">
        <f>'Specialisti - aprekini_jaunais'!G93</f>
        <v>426703.435275</v>
      </c>
      <c r="E9" s="20">
        <f>'Specialisti - aprekini_jaunais'!H93</f>
        <v>90260.32666169999</v>
      </c>
      <c r="F9" s="19">
        <f t="shared" si="0"/>
        <v>516963.76193669997</v>
      </c>
    </row>
    <row r="10" spans="1:6" x14ac:dyDescent="0.35">
      <c r="A10" s="17" t="str">
        <f>'Specialisti - aprekini_jaunais'!B94</f>
        <v>Jūrmalas slimnīca</v>
      </c>
      <c r="B10" s="18">
        <f>'Specialisti - aprekini_jaunais'!E111</f>
        <v>2857366.496911251</v>
      </c>
      <c r="C10" s="19">
        <f>'Specialisti - aprekini_jaunais'!F111</f>
        <v>2757950.3888465008</v>
      </c>
      <c r="D10" s="18">
        <f>'Specialisti - aprekini_jaunais'!G111</f>
        <v>82058.352937500007</v>
      </c>
      <c r="E10" s="20">
        <f>'Specialisti - aprekini_jaunais'!H111</f>
        <v>17357.755127250002</v>
      </c>
      <c r="F10" s="19">
        <f t="shared" si="0"/>
        <v>99416.108064750006</v>
      </c>
    </row>
    <row r="11" spans="1:6" x14ac:dyDescent="0.35">
      <c r="A11" s="17" t="str">
        <f>'Specialisti - aprekini_jaunais'!B112</f>
        <v>Siguldas slimnīca</v>
      </c>
      <c r="B11" s="18">
        <f>'Specialisti - aprekini_jaunais'!E129</f>
        <v>1509518.0337033437</v>
      </c>
      <c r="C11" s="19">
        <f>'Specialisti - aprekini_jaunais'!F129</f>
        <v>1248497.0567440938</v>
      </c>
      <c r="D11" s="18">
        <f>'Specialisti - aprekini_jaunais'!G129</f>
        <v>215447.49506250001</v>
      </c>
      <c r="E11" s="20">
        <f>'Specialisti - aprekini_jaunais'!H129</f>
        <v>45573.481896750003</v>
      </c>
      <c r="F11" s="19">
        <f t="shared" si="0"/>
        <v>261020.97695924999</v>
      </c>
    </row>
    <row r="12" spans="1:6" x14ac:dyDescent="0.35">
      <c r="A12" s="17" t="str">
        <f>'Specialisti - aprekini_jaunais'!B130</f>
        <v>Rīgas 2. slimnīca</v>
      </c>
      <c r="B12" s="18">
        <f>'Specialisti - aprekini_jaunais'!E147</f>
        <v>1570510.2216072502</v>
      </c>
      <c r="C12" s="19">
        <f>'Specialisti - aprekini_jaunais'!F147</f>
        <v>1309489.2446480002</v>
      </c>
      <c r="D12" s="18">
        <f>'Specialisti - aprekini_jaunais'!G147</f>
        <v>215447.49506250001</v>
      </c>
      <c r="E12" s="20">
        <f>'Specialisti - aprekini_jaunais'!H147</f>
        <v>45573.481896750003</v>
      </c>
      <c r="F12" s="19">
        <f t="shared" si="0"/>
        <v>261020.97695924999</v>
      </c>
    </row>
    <row r="13" spans="1:6" x14ac:dyDescent="0.35">
      <c r="A13" s="17" t="str">
        <f>'Specialisti - aprekini_jaunais'!B149</f>
        <v>Liepājas reģionālā slimnīca</v>
      </c>
      <c r="B13" s="18">
        <f>'Specialisti - aprekini_jaunais'!E166</f>
        <v>4539459.9288092507</v>
      </c>
      <c r="C13" s="19">
        <f>'Specialisti - aprekini_jaunais'!F166</f>
        <v>3923676.5572915003</v>
      </c>
      <c r="D13" s="18">
        <f>'Specialisti - aprekini_jaunais'!G166</f>
        <v>518136.62423925003</v>
      </c>
      <c r="E13" s="20">
        <f>'Specialisti - aprekini_jaunais'!H166</f>
        <v>97646.747278500014</v>
      </c>
      <c r="F13" s="19">
        <f t="shared" si="0"/>
        <v>615783.37151775009</v>
      </c>
    </row>
    <row r="14" spans="1:6" x14ac:dyDescent="0.35">
      <c r="A14" s="17" t="str">
        <f>'Specialisti - aprekini_jaunais'!B167</f>
        <v>Kuldīgas slimnīca</v>
      </c>
      <c r="B14" s="18">
        <f>'Specialisti - aprekini_jaunais'!E184</f>
        <v>2312202.7841570941</v>
      </c>
      <c r="C14" s="19">
        <f>'Specialisti - aprekini_jaunais'!F184</f>
        <v>1951765.6991330939</v>
      </c>
      <c r="D14" s="18">
        <f>'Specialisti - aprekini_jaunais'!G184</f>
        <v>297505.84800000006</v>
      </c>
      <c r="E14" s="20">
        <f>'Specialisti - aprekini_jaunais'!H184</f>
        <v>62931.237024000009</v>
      </c>
      <c r="F14" s="19">
        <f t="shared" si="0"/>
        <v>360437.08502400009</v>
      </c>
    </row>
    <row r="15" spans="1:6" x14ac:dyDescent="0.35">
      <c r="A15" s="17" t="str">
        <f>'Specialisti - aprekini_jaunais'!B189</f>
        <v>Ziemeļkurzemes reģionālā slimnīca, tajā skaitā Talsi</v>
      </c>
      <c r="B15" s="18">
        <f>'Specialisti - aprekini_jaunais'!E207</f>
        <v>5225770.5853987504</v>
      </c>
      <c r="C15" s="19">
        <f>'Specialisti - aprekini_jaunais'!F207</f>
        <v>4765917.39231</v>
      </c>
      <c r="D15" s="18">
        <f>'Specialisti - aprekini_jaunais'!G207</f>
        <v>379564.20093750005</v>
      </c>
      <c r="E15" s="20">
        <f>'Specialisti - aprekini_jaunais'!H207</f>
        <v>80288.992151250015</v>
      </c>
      <c r="F15" s="19">
        <f t="shared" si="0"/>
        <v>459853.19308875006</v>
      </c>
    </row>
    <row r="16" spans="1:6" x14ac:dyDescent="0.35">
      <c r="A16" s="17" t="str">
        <f>'Specialisti - aprekini_jaunais'!B208</f>
        <v>Tukuma slimnīca</v>
      </c>
      <c r="B16" s="18">
        <f>'Specialisti - aprekini_jaunais'!E225</f>
        <v>1562219.1056950937</v>
      </c>
      <c r="C16" s="19">
        <f>'Specialisti - aprekini_jaunais'!F225</f>
        <v>1201782.0206710938</v>
      </c>
      <c r="D16" s="18">
        <f>'Specialisti - aprekini_jaunais'!G225</f>
        <v>297505.84800000006</v>
      </c>
      <c r="E16" s="20">
        <f>'Specialisti - aprekini_jaunais'!H225</f>
        <v>62931.237024000009</v>
      </c>
      <c r="F16" s="19">
        <f t="shared" si="0"/>
        <v>360437.08502400009</v>
      </c>
    </row>
    <row r="17" spans="1:6" x14ac:dyDescent="0.35">
      <c r="A17" s="17" t="str">
        <f>'Specialisti - aprekini_jaunais'!B227</f>
        <v>Daugavpils reģionālā slimnīca</v>
      </c>
      <c r="B17" s="18">
        <f>'Specialisti - aprekini_jaunais'!E244</f>
        <v>5285630.6088987496</v>
      </c>
      <c r="C17" s="19">
        <f>'Specialisti - aprekini_jaunais'!F244</f>
        <v>4626945.1996804997</v>
      </c>
      <c r="D17" s="18">
        <f>'Specialisti - aprekini_jaunais'!G244</f>
        <v>543680.90681249998</v>
      </c>
      <c r="E17" s="20">
        <f>'Specialisti - aprekini_jaunais'!H244</f>
        <v>115004.50240575001</v>
      </c>
      <c r="F17" s="19">
        <f t="shared" si="0"/>
        <v>658685.40921824996</v>
      </c>
    </row>
    <row r="18" spans="1:6" x14ac:dyDescent="0.35">
      <c r="A18" s="17" t="str">
        <f>'Specialisti - aprekini_jaunais'!B245</f>
        <v>Krāslavas slimnīca</v>
      </c>
      <c r="B18" s="18">
        <f>'Specialisti - aprekini_jaunais'!E262</f>
        <v>1363386.8895655938</v>
      </c>
      <c r="C18" s="19">
        <f>'Specialisti - aprekini_jaunais'!F262</f>
        <v>1201782.0206710938</v>
      </c>
      <c r="D18" s="18">
        <f>'Specialisti - aprekini_jaunais'!G262</f>
        <v>133389.14212500001</v>
      </c>
      <c r="E18" s="20">
        <f>'Specialisti - aprekini_jaunais'!H262</f>
        <v>28215.726769500005</v>
      </c>
      <c r="F18" s="19">
        <f t="shared" si="0"/>
        <v>161604.86889450002</v>
      </c>
    </row>
    <row r="19" spans="1:6" x14ac:dyDescent="0.35">
      <c r="A19" s="17" t="str">
        <f>'Specialisti - aprekini_jaunais'!B263</f>
        <v>Preiļu slimnīca</v>
      </c>
      <c r="B19" s="18">
        <f>'Specialisti - aprekini_jaunais'!E280</f>
        <v>1976766.7364118439</v>
      </c>
      <c r="C19" s="19">
        <f>'Specialisti - aprekini_jaunais'!F280</f>
        <v>1715745.759452594</v>
      </c>
      <c r="D19" s="18">
        <f>'Specialisti - aprekini_jaunais'!G280</f>
        <v>215447.49506250001</v>
      </c>
      <c r="E19" s="20">
        <f>'Specialisti - aprekini_jaunais'!H280</f>
        <v>45573.481896750003</v>
      </c>
      <c r="F19" s="19">
        <f t="shared" si="0"/>
        <v>261020.97695924999</v>
      </c>
    </row>
    <row r="20" spans="1:6" x14ac:dyDescent="0.35">
      <c r="A20" s="17" t="str">
        <f>'Specialisti - aprekini_jaunais'!B281</f>
        <v>Rēzeknes slimnīca</v>
      </c>
      <c r="B20" s="18">
        <f>'Specialisti - aprekini_jaunais'!E298</f>
        <v>4152300.9873522506</v>
      </c>
      <c r="C20" s="19">
        <f>'Specialisti - aprekini_jaunais'!F298</f>
        <v>3692447.7942635003</v>
      </c>
      <c r="D20" s="18">
        <f>'Specialisti - aprekini_jaunais'!G298</f>
        <v>379564.20093750005</v>
      </c>
      <c r="E20" s="20">
        <f>'Specialisti - aprekini_jaunais'!H298</f>
        <v>80288.992151250015</v>
      </c>
      <c r="F20" s="19">
        <f t="shared" si="0"/>
        <v>459853.19308875006</v>
      </c>
    </row>
    <row r="21" spans="1:6" x14ac:dyDescent="0.35">
      <c r="A21" s="17" t="str">
        <f>'Specialisti - aprekini_jaunais'!B299</f>
        <v>Līvānu slimnīca</v>
      </c>
      <c r="B21" s="18">
        <f>'Specialisti - aprekini_jaunais'!E316</f>
        <v>893963.43565124995</v>
      </c>
      <c r="C21" s="19">
        <f>'Specialisti - aprekini_jaunais'!F316</f>
        <v>837449.36528699996</v>
      </c>
      <c r="D21" s="18">
        <f>'Specialisti - aprekini_jaunais'!G316</f>
        <v>56514.070364250001</v>
      </c>
      <c r="E21" s="20">
        <f>'Specialisti - aprekini_jaunais'!H316</f>
        <v>0</v>
      </c>
      <c r="F21" s="19">
        <f t="shared" si="0"/>
        <v>56514.070364250001</v>
      </c>
    </row>
    <row r="22" spans="1:6" x14ac:dyDescent="0.35">
      <c r="A22" s="17" t="str">
        <f>'Specialisti - aprekini_jaunais'!B317</f>
        <v>Ludzas slimnīca</v>
      </c>
      <c r="B22" s="18">
        <f>'Specialisti - aprekini_jaunais'!E334</f>
        <v>893963.43565124995</v>
      </c>
      <c r="C22" s="19">
        <f>'Specialisti - aprekini_jaunais'!F334</f>
        <v>837449.36528699996</v>
      </c>
      <c r="D22" s="18">
        <f>'Specialisti - aprekini_jaunais'!G334</f>
        <v>56514.070364250001</v>
      </c>
      <c r="E22" s="20">
        <f>'Specialisti - aprekini_jaunais'!H334</f>
        <v>0</v>
      </c>
      <c r="F22" s="19">
        <f t="shared" si="0"/>
        <v>56514.070364250001</v>
      </c>
    </row>
    <row r="23" spans="1:6" x14ac:dyDescent="0.35">
      <c r="A23" s="17" t="str">
        <f>'Specialisti - aprekini_jaunais'!B335</f>
        <v>Balvu un Gulbenes slimnīcu apvienība</v>
      </c>
      <c r="B23" s="18">
        <f>'Specialisti - aprekini_jaunais'!E352</f>
        <v>2378675.3310555941</v>
      </c>
      <c r="C23" s="19">
        <f>'Specialisti - aprekini_jaunais'!F352</f>
        <v>2182994.462161094</v>
      </c>
      <c r="D23" s="18">
        <f>'Specialisti - aprekini_jaunais'!G352</f>
        <v>133389.14212500001</v>
      </c>
      <c r="E23" s="20">
        <f>'Specialisti - aprekini_jaunais'!H352</f>
        <v>62291.726769500005</v>
      </c>
      <c r="F23" s="19">
        <f t="shared" si="0"/>
        <v>195680.86889450002</v>
      </c>
    </row>
    <row r="24" spans="1:6" x14ac:dyDescent="0.35">
      <c r="A24" s="17" t="str">
        <f>'Specialisti - aprekini_jaunais'!B354</f>
        <v>Vidzemes slimnīca</v>
      </c>
      <c r="B24" s="18">
        <f>'Specialisti - aprekini_jaunais'!E371</f>
        <v>4549965.4196112501</v>
      </c>
      <c r="C24" s="19">
        <f>'Specialisti - aprekini_jaunais'!F371</f>
        <v>3692447.7942635003</v>
      </c>
      <c r="D24" s="18">
        <f>'Specialisti - aprekini_jaunais'!G371</f>
        <v>707797.61268750008</v>
      </c>
      <c r="E24" s="20">
        <f>'Specialisti - aprekini_jaunais'!H371</f>
        <v>149720.01266025001</v>
      </c>
      <c r="F24" s="19">
        <f t="shared" si="0"/>
        <v>857517.62534775003</v>
      </c>
    </row>
    <row r="25" spans="1:6" x14ac:dyDescent="0.35">
      <c r="A25" s="17" t="str">
        <f>'Specialisti - aprekini_jaunais'!B372</f>
        <v>Cēsu klīnika</v>
      </c>
      <c r="B25" s="18">
        <f>'Specialisti - aprekini_jaunais'!E389</f>
        <v>1930051.7003388437</v>
      </c>
      <c r="C25" s="19">
        <f>'Specialisti - aprekini_jaunais'!F389</f>
        <v>1669030.7233795938</v>
      </c>
      <c r="D25" s="18">
        <f>'Specialisti - aprekini_jaunais'!G389</f>
        <v>215447.49506250001</v>
      </c>
      <c r="E25" s="20">
        <f>'Specialisti - aprekini_jaunais'!H389</f>
        <v>45573.481896750003</v>
      </c>
      <c r="F25" s="19">
        <f t="shared" si="0"/>
        <v>261020.97695924999</v>
      </c>
    </row>
    <row r="26" spans="1:6" x14ac:dyDescent="0.35">
      <c r="A26" s="17" t="str">
        <f>'Specialisti - aprekini_jaunais'!B390</f>
        <v>Limbažu slimnīca</v>
      </c>
      <c r="B26" s="18">
        <f>'Specialisti - aprekini_jaunais'!E407</f>
        <v>993379.54371599993</v>
      </c>
      <c r="C26" s="19">
        <f>'Specialisti - aprekini_jaunais'!F407</f>
        <v>837449.36528699996</v>
      </c>
      <c r="D26" s="18">
        <f>'Specialisti - aprekini_jaunais'!G407</f>
        <v>138572.42330175001</v>
      </c>
      <c r="E26" s="20">
        <f>'Specialisti - aprekini_jaunais'!H407</f>
        <v>17357.755127250002</v>
      </c>
      <c r="F26" s="19">
        <f t="shared" si="0"/>
        <v>155930.17842900002</v>
      </c>
    </row>
    <row r="27" spans="1:6" x14ac:dyDescent="0.35">
      <c r="A27" s="17" t="str">
        <f>'Specialisti - aprekini_jaunais'!B408</f>
        <v>Madonas slimnīca</v>
      </c>
      <c r="B27" s="18">
        <f>'Specialisti - aprekini_jaunais'!E425</f>
        <v>3018971.3658057512</v>
      </c>
      <c r="C27" s="19">
        <f>'Specialisti - aprekini_jaunais'!F425</f>
        <v>2757950.3888465008</v>
      </c>
      <c r="D27" s="18">
        <f>'Specialisti - aprekini_jaunais'!G425</f>
        <v>215447.49506250001</v>
      </c>
      <c r="E27" s="20">
        <f>'Specialisti - aprekini_jaunais'!H425</f>
        <v>45573.481896750003</v>
      </c>
      <c r="F27" s="19">
        <f t="shared" si="0"/>
        <v>261020.97695924999</v>
      </c>
    </row>
    <row r="28" spans="1:6" x14ac:dyDescent="0.35">
      <c r="A28" s="17" t="str">
        <f>'Specialisti - aprekini_jaunais'!B426</f>
        <v>Alūksnes slimnīca</v>
      </c>
      <c r="B28" s="18">
        <f>'Specialisti - aprekini_jaunais'!E443</f>
        <v>1830635.5922740938</v>
      </c>
      <c r="C28" s="19">
        <f>'Specialisti - aprekini_jaunais'!F443</f>
        <v>1669030.7233795938</v>
      </c>
      <c r="D28" s="18">
        <f>'Specialisti - aprekini_jaunais'!G443</f>
        <v>133389.14212500001</v>
      </c>
      <c r="E28" s="20">
        <f>'Specialisti - aprekini_jaunais'!H443</f>
        <v>28215.726769500005</v>
      </c>
      <c r="F28" s="19">
        <f t="shared" si="0"/>
        <v>161604.86889450002</v>
      </c>
    </row>
    <row r="29" spans="1:6" x14ac:dyDescent="0.35">
      <c r="A29" s="17" t="str">
        <f>'Specialisti - aprekini_jaunais'!B444</f>
        <v>Ogres rajona slimnīca</v>
      </c>
      <c r="B29" s="18">
        <f>'Specialisti - aprekini_jaunais'!E461</f>
        <v>2543431.5471850941</v>
      </c>
      <c r="C29" s="19">
        <f>'Specialisti - aprekini_jaunais'!F461</f>
        <v>2182994.462161094</v>
      </c>
      <c r="D29" s="18">
        <f>'Specialisti - aprekini_jaunais'!G461</f>
        <v>297505.84800000006</v>
      </c>
      <c r="E29" s="20">
        <f>'Specialisti - aprekini_jaunais'!H461</f>
        <v>62931.237024000009</v>
      </c>
      <c r="F29" s="19">
        <f t="shared" si="0"/>
        <v>360437.08502400009</v>
      </c>
    </row>
    <row r="30" spans="1:6" x14ac:dyDescent="0.35">
      <c r="A30" s="17" t="str">
        <f>'Specialisti - aprekini_jaunais'!B463</f>
        <v>Jelgavas pilsētas slimnīca</v>
      </c>
      <c r="B30" s="18">
        <f>'Specialisti - aprekini_jaunais'!E480</f>
        <v>4251717.0954170004</v>
      </c>
      <c r="C30" s="19">
        <f>'Specialisti - aprekini_jaunais'!F480</f>
        <v>3692447.7942635003</v>
      </c>
      <c r="D30" s="18">
        <f>'Specialisti - aprekini_jaunais'!G480</f>
        <v>461622.55387500004</v>
      </c>
      <c r="E30" s="20">
        <f>'Specialisti - aprekini_jaunais'!H480</f>
        <v>97646.747278500014</v>
      </c>
      <c r="F30" s="19">
        <f t="shared" si="0"/>
        <v>559269.3011535001</v>
      </c>
    </row>
    <row r="31" spans="1:6" x14ac:dyDescent="0.35">
      <c r="A31" s="17" t="str">
        <f>'Specialisti - aprekini_jaunais'!B481</f>
        <v>Dobeles slimnīca</v>
      </c>
      <c r="B31" s="18">
        <f>'Specialisti - aprekini_jaunais'!E498</f>
        <v>2575828.0940835937</v>
      </c>
      <c r="C31" s="19">
        <f>'Specialisti - aprekini_jaunais'!F498</f>
        <v>2414223.225189094</v>
      </c>
      <c r="D31" s="18">
        <f>'Specialisti - aprekini_jaunais'!G498</f>
        <v>133389.14212500001</v>
      </c>
      <c r="E31" s="20">
        <f>'Specialisti - aprekini_jaunais'!H498</f>
        <v>28215.726769500005</v>
      </c>
      <c r="F31" s="19">
        <f t="shared" si="0"/>
        <v>161604.86889450002</v>
      </c>
    </row>
    <row r="32" spans="1:6" x14ac:dyDescent="0.35">
      <c r="A32" s="17" t="str">
        <f>'Specialisti - aprekini_jaunais'!B499</f>
        <v>Bauskas slimnīca</v>
      </c>
      <c r="B32" s="18">
        <f>'Specialisti - aprekini_jaunais'!E516</f>
        <v>893963.43565124995</v>
      </c>
      <c r="C32" s="19">
        <f>'Specialisti - aprekini_jaunais'!F516</f>
        <v>837449.36528699996</v>
      </c>
      <c r="D32" s="18">
        <f>'Specialisti - aprekini_jaunais'!G516</f>
        <v>56514.070364250001</v>
      </c>
      <c r="E32" s="20">
        <f>'Specialisti - aprekini_jaunais'!H516</f>
        <v>0</v>
      </c>
      <c r="F32" s="19">
        <f t="shared" si="0"/>
        <v>56514.070364250001</v>
      </c>
    </row>
    <row r="33" spans="1:6" x14ac:dyDescent="0.35">
      <c r="A33" s="17" t="str">
        <f>'Specialisti - aprekini_jaunais'!B517</f>
        <v>Jēkabpils reģionālā slimnīca</v>
      </c>
      <c r="B33" s="18">
        <f>'Specialisti - aprekini_jaunais'!E534</f>
        <v>4251717.0954170004</v>
      </c>
      <c r="C33" s="19">
        <f>'Specialisti - aprekini_jaunais'!F534</f>
        <v>3692447.7942635003</v>
      </c>
      <c r="D33" s="18">
        <f>'Specialisti - aprekini_jaunais'!G534</f>
        <v>461622.55387500004</v>
      </c>
      <c r="E33" s="20">
        <f>'Specialisti - aprekini_jaunais'!H534</f>
        <v>97646.747278500014</v>
      </c>
      <c r="F33" s="19">
        <f t="shared" si="0"/>
        <v>559269.3011535001</v>
      </c>
    </row>
    <row r="34" spans="1:6" x14ac:dyDescent="0.35">
      <c r="A34" s="17" t="str">
        <f>'Specialisti - aprekini_jaunais'!B535</f>
        <v>Aizkraukles slimnīca</v>
      </c>
      <c r="B34" s="18">
        <f>'Specialisti - aprekini_jaunais'!E552</f>
        <v>893963.43565124995</v>
      </c>
      <c r="C34" s="19">
        <f>'Specialisti - aprekini_jaunais'!F552</f>
        <v>837449.36528699996</v>
      </c>
      <c r="D34" s="18">
        <f>'Specialisti - aprekini_jaunais'!G552</f>
        <v>56514.070364250001</v>
      </c>
      <c r="E34" s="20">
        <f>'Specialisti - aprekini_jaunais'!H552</f>
        <v>0</v>
      </c>
      <c r="F34" s="19">
        <f t="shared" si="0"/>
        <v>56514.070364250001</v>
      </c>
    </row>
    <row r="35" spans="1:6" x14ac:dyDescent="0.35">
      <c r="B35" s="151">
        <f>SUM(B5:B34)</f>
        <v>131566615.40818292</v>
      </c>
      <c r="C35" s="151">
        <f t="shared" ref="C35:F35" si="1">SUM(C5:C34)</f>
        <v>109474438.32805446</v>
      </c>
      <c r="D35" s="151">
        <f t="shared" si="1"/>
        <v>18470904.116129249</v>
      </c>
      <c r="E35" s="151">
        <f t="shared" si="1"/>
        <v>3621272.9639992509</v>
      </c>
      <c r="F35" s="151">
        <f t="shared" si="1"/>
        <v>22092177.080128506</v>
      </c>
    </row>
    <row r="37" spans="1:6" x14ac:dyDescent="0.35">
      <c r="A37" t="s">
        <v>329</v>
      </c>
    </row>
  </sheetData>
  <pageMargins left="0.7" right="0.7" top="0.75" bottom="0.75" header="0.3" footer="0.3"/>
  <pageSetup paperSize="9" scale="4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54130-98C4-4AE0-9867-DB7B7DEF0E2A}">
  <dimension ref="A1:P555"/>
  <sheetViews>
    <sheetView view="pageBreakPreview" zoomScale="60" zoomScaleNormal="87" workbookViewId="0">
      <selection activeCell="L1" sqref="L1"/>
    </sheetView>
  </sheetViews>
  <sheetFormatPr defaultColWidth="8.7265625" defaultRowHeight="11.5" x14ac:dyDescent="0.25"/>
  <cols>
    <col min="1" max="1" width="14.7265625" style="154" customWidth="1"/>
    <col min="2" max="2" width="22.26953125" style="154" customWidth="1"/>
    <col min="3" max="3" width="27.1796875" style="154" customWidth="1"/>
    <col min="4" max="4" width="26.7265625" style="154" customWidth="1"/>
    <col min="5" max="5" width="27" style="154" customWidth="1"/>
    <col min="6" max="6" width="12.1796875" style="154" customWidth="1"/>
    <col min="7" max="7" width="17.453125" style="154" customWidth="1"/>
    <col min="8" max="8" width="13.7265625" style="154" customWidth="1"/>
    <col min="9" max="9" width="15.54296875" style="155" customWidth="1"/>
    <col min="10" max="10" width="16.81640625" style="155" customWidth="1"/>
    <col min="11" max="11" width="18" style="155" customWidth="1"/>
    <col min="12" max="12" width="15.7265625" style="1" customWidth="1"/>
    <col min="13" max="13" width="16.453125" style="133" hidden="1" customWidth="1"/>
    <col min="14" max="14" width="12.7265625" style="133" hidden="1" customWidth="1"/>
    <col min="15" max="16" width="10.453125" style="1" customWidth="1"/>
    <col min="17" max="16384" width="8.7265625" style="1"/>
  </cols>
  <sheetData>
    <row r="1" spans="1:16" x14ac:dyDescent="0.25">
      <c r="L1" s="1" t="s">
        <v>320</v>
      </c>
    </row>
    <row r="5" spans="1:16" s="4" customFormat="1" ht="15.5" x14ac:dyDescent="0.35">
      <c r="A5" s="156" t="s">
        <v>0</v>
      </c>
      <c r="B5" s="157"/>
      <c r="C5" s="157"/>
      <c r="D5" s="157"/>
      <c r="E5" s="157"/>
      <c r="F5" s="157"/>
      <c r="G5" s="157"/>
      <c r="H5" s="157"/>
      <c r="I5" s="158"/>
      <c r="J5" s="158"/>
      <c r="K5" s="158"/>
      <c r="M5" s="134"/>
      <c r="N5" s="134"/>
    </row>
    <row r="6" spans="1:16" s="8" customFormat="1" ht="41.25" customHeight="1" x14ac:dyDescent="0.25">
      <c r="A6" s="159" t="s">
        <v>1</v>
      </c>
      <c r="B6" s="159" t="s">
        <v>2</v>
      </c>
      <c r="C6" s="159" t="s">
        <v>3</v>
      </c>
      <c r="D6" s="159" t="s">
        <v>4</v>
      </c>
      <c r="E6" s="386" t="s">
        <v>85</v>
      </c>
      <c r="F6" s="387"/>
      <c r="G6" s="160" t="s">
        <v>94</v>
      </c>
      <c r="H6" s="160" t="s">
        <v>95</v>
      </c>
      <c r="I6" s="382" t="s">
        <v>176</v>
      </c>
      <c r="J6" s="384" t="s">
        <v>177</v>
      </c>
      <c r="K6" s="384" t="s">
        <v>178</v>
      </c>
      <c r="L6" s="383" t="s">
        <v>201</v>
      </c>
      <c r="M6" s="135"/>
      <c r="N6" s="135"/>
    </row>
    <row r="7" spans="1:16" s="8" customFormat="1" ht="11.25" customHeight="1" x14ac:dyDescent="0.25">
      <c r="A7" s="161"/>
      <c r="B7" s="162"/>
      <c r="C7" s="162"/>
      <c r="D7" s="163"/>
      <c r="E7" s="164" t="s">
        <v>63</v>
      </c>
      <c r="F7" s="164" t="s">
        <v>86</v>
      </c>
      <c r="G7" s="164" t="s">
        <v>88</v>
      </c>
      <c r="H7" s="164" t="s">
        <v>88</v>
      </c>
      <c r="I7" s="382"/>
      <c r="J7" s="384"/>
      <c r="K7" s="384"/>
      <c r="L7" s="383"/>
      <c r="M7" s="135"/>
      <c r="N7" s="135"/>
    </row>
    <row r="8" spans="1:16" s="9" customFormat="1" ht="12" customHeight="1" thickBot="1" x14ac:dyDescent="0.3">
      <c r="A8" s="388" t="s">
        <v>5</v>
      </c>
      <c r="B8" s="389"/>
      <c r="C8" s="389"/>
      <c r="D8" s="390"/>
      <c r="E8" s="165"/>
      <c r="F8" s="166"/>
      <c r="G8" s="166"/>
      <c r="H8" s="166"/>
      <c r="I8" s="382"/>
      <c r="J8" s="384"/>
      <c r="K8" s="384"/>
      <c r="L8" s="383"/>
      <c r="M8" s="135" t="s">
        <v>195</v>
      </c>
      <c r="N8" s="135" t="s">
        <v>196</v>
      </c>
    </row>
    <row r="9" spans="1:16" ht="23" x14ac:dyDescent="0.25">
      <c r="A9" s="167" t="s">
        <v>89</v>
      </c>
      <c r="B9" s="168" t="s">
        <v>6</v>
      </c>
      <c r="C9" s="5" t="s">
        <v>7</v>
      </c>
      <c r="D9" s="5" t="s">
        <v>8</v>
      </c>
      <c r="E9" s="169" t="s">
        <v>80</v>
      </c>
      <c r="F9" s="5">
        <v>28</v>
      </c>
      <c r="G9" s="5">
        <f>SUM(G10:G17,G19)</f>
        <v>46</v>
      </c>
      <c r="H9" s="5">
        <f>SUM(H10:H17,H19)</f>
        <v>46</v>
      </c>
      <c r="I9" s="170">
        <f>ROUND(SUM(I10:I21),0)</f>
        <v>19752870</v>
      </c>
      <c r="J9" s="170">
        <f t="shared" ref="J9:K9" si="0">ROUND(SUM(J10:J21),0)</f>
        <v>5174010</v>
      </c>
      <c r="K9" s="170">
        <f t="shared" si="0"/>
        <v>1094455</v>
      </c>
      <c r="L9" s="153">
        <f>SUM(I9:K9)</f>
        <v>26021335</v>
      </c>
      <c r="M9" s="139">
        <f>SUM(M10:M21)</f>
        <v>12303752.225000001</v>
      </c>
      <c r="N9" s="139">
        <f>F9*'Darba algas UZŅEMŠANĀ_jaunais'!BE15</f>
        <v>387992.63999999996</v>
      </c>
      <c r="O9" s="16"/>
      <c r="P9" s="16"/>
    </row>
    <row r="10" spans="1:16" x14ac:dyDescent="0.25">
      <c r="A10" s="171"/>
      <c r="B10" s="2"/>
      <c r="C10" s="2" t="s">
        <v>9</v>
      </c>
      <c r="D10" s="2" t="s">
        <v>10</v>
      </c>
      <c r="E10" s="2" t="s">
        <v>64</v>
      </c>
      <c r="F10" s="2">
        <v>2</v>
      </c>
      <c r="G10" s="2">
        <v>6</v>
      </c>
      <c r="H10" s="2">
        <v>6</v>
      </c>
      <c r="I10" s="155">
        <f>ROUND(F10*'Darba algas UZŅEMŠANĀ_jaunais'!$BD$3,0)</f>
        <v>605338</v>
      </c>
      <c r="J10" s="155">
        <f>G10*'Darba algas UZŅEMŠANĀ_jaunais'!$BB$3</f>
        <v>640055.15291249997</v>
      </c>
      <c r="K10" s="155">
        <f>H10*'Darba algas UZŅEMŠANĀ_jaunais'!$BA$3</f>
        <v>135390.48999254999</v>
      </c>
      <c r="M10" s="139">
        <f>F10*'Darba algas UZŅEMŠANĀ_jaunais'!$BA$19</f>
        <v>367001.68700000003</v>
      </c>
      <c r="N10" s="139"/>
      <c r="O10" s="16"/>
      <c r="P10" s="16"/>
    </row>
    <row r="11" spans="1:16" x14ac:dyDescent="0.25">
      <c r="A11" s="172"/>
      <c r="B11" s="2"/>
      <c r="C11" s="2" t="s">
        <v>10</v>
      </c>
      <c r="D11" s="2" t="s">
        <v>11</v>
      </c>
      <c r="E11" s="2" t="s">
        <v>82</v>
      </c>
      <c r="F11" s="2">
        <v>5</v>
      </c>
      <c r="G11" s="2">
        <v>0</v>
      </c>
      <c r="H11" s="2">
        <v>0</v>
      </c>
      <c r="I11" s="155">
        <f>ROUND(F11*'Darba algas UZŅEMŠANĀ_jaunais'!$BD$3,0)</f>
        <v>1513344</v>
      </c>
      <c r="J11" s="155">
        <f>G11*'Darba algas UZŅEMŠANĀ_jaunais'!$BB$3</f>
        <v>0</v>
      </c>
      <c r="K11" s="155">
        <f>H11*'Darba algas UZŅEMŠANĀ_jaunais'!$BA$3</f>
        <v>0</v>
      </c>
      <c r="M11" s="139">
        <f>F11*'Darba algas UZŅEMŠANĀ_jaunais'!$BA$19</f>
        <v>917504.21750000003</v>
      </c>
      <c r="N11" s="139"/>
      <c r="O11" s="16"/>
      <c r="P11" s="16"/>
    </row>
    <row r="12" spans="1:16" x14ac:dyDescent="0.25">
      <c r="A12" s="172"/>
      <c r="B12" s="2"/>
      <c r="C12" s="2" t="s">
        <v>11</v>
      </c>
      <c r="D12" s="2" t="s">
        <v>12</v>
      </c>
      <c r="E12" s="2" t="s">
        <v>65</v>
      </c>
      <c r="F12" s="2">
        <v>4</v>
      </c>
      <c r="G12" s="2">
        <v>8</v>
      </c>
      <c r="H12" s="2">
        <v>8</v>
      </c>
      <c r="I12" s="155">
        <f>ROUND(F12*'Darba algas UZŅEMŠANĀ_jaunais'!$BD$3,0)</f>
        <v>1210675</v>
      </c>
      <c r="J12" s="155">
        <f>G12*'Darba algas UZŅEMŠANĀ_jaunais'!$BB$3</f>
        <v>853406.87054999999</v>
      </c>
      <c r="K12" s="155">
        <f>H12*'Darba algas UZŅEMŠANĀ_jaunais'!$BA$3</f>
        <v>180520.65332339998</v>
      </c>
      <c r="M12" s="139">
        <f>F12*'Darba algas UZŅEMŠANĀ_jaunais'!$BA$19</f>
        <v>734003.37400000007</v>
      </c>
      <c r="N12" s="139"/>
      <c r="O12" s="16"/>
      <c r="P12" s="16"/>
    </row>
    <row r="13" spans="1:16" x14ac:dyDescent="0.25">
      <c r="A13" s="172"/>
      <c r="B13" s="2"/>
      <c r="C13" s="2" t="s">
        <v>12</v>
      </c>
      <c r="D13" s="2" t="s">
        <v>13</v>
      </c>
      <c r="E13" s="2" t="s">
        <v>83</v>
      </c>
      <c r="F13" s="2">
        <v>2</v>
      </c>
      <c r="G13" s="2">
        <v>1</v>
      </c>
      <c r="H13" s="2">
        <v>1</v>
      </c>
      <c r="I13" s="155">
        <f>ROUND(F13*'Darba algas UZŅEMŠANĀ_jaunais'!$BD$3,0)</f>
        <v>605338</v>
      </c>
      <c r="J13" s="155">
        <f>G13*'Darba algas UZŅEMŠANĀ_jaunais'!$BB$3</f>
        <v>106675.85881875</v>
      </c>
      <c r="K13" s="155">
        <f>H13*'Darba algas UZŅEMŠANĀ_jaunais'!$BA$3</f>
        <v>22565.081665424997</v>
      </c>
      <c r="M13" s="139">
        <f>F13*'Darba algas UZŅEMŠANĀ_jaunais'!$BA$19</f>
        <v>367001.68700000003</v>
      </c>
      <c r="N13" s="139"/>
      <c r="O13" s="16"/>
      <c r="P13" s="16"/>
    </row>
    <row r="14" spans="1:16" x14ac:dyDescent="0.25">
      <c r="A14" s="172"/>
      <c r="B14" s="2"/>
      <c r="C14" s="2" t="s">
        <v>14</v>
      </c>
      <c r="D14" s="2" t="s">
        <v>15</v>
      </c>
      <c r="E14" s="2" t="s">
        <v>66</v>
      </c>
      <c r="F14" s="2">
        <v>1</v>
      </c>
      <c r="G14" s="2">
        <v>1</v>
      </c>
      <c r="H14" s="2">
        <v>1</v>
      </c>
      <c r="I14" s="155">
        <f>ROUND(F14*'Darba algas UZŅEMŠANĀ_jaunais'!$BD$3,0)</f>
        <v>302669</v>
      </c>
      <c r="J14" s="155">
        <f>G14*'Darba algas UZŅEMŠANĀ_jaunais'!$BB$3</f>
        <v>106675.85881875</v>
      </c>
      <c r="K14" s="155">
        <f>H14*'Darba algas UZŅEMŠANĀ_jaunais'!$BA$3</f>
        <v>22565.081665424997</v>
      </c>
      <c r="M14" s="139">
        <f>F14*'Darba algas UZŅEMŠANĀ_jaunais'!$BA$19</f>
        <v>183500.84350000002</v>
      </c>
      <c r="N14" s="139"/>
      <c r="O14" s="16"/>
      <c r="P14" s="16"/>
    </row>
    <row r="15" spans="1:16" x14ac:dyDescent="0.25">
      <c r="A15" s="172"/>
      <c r="B15" s="2"/>
      <c r="C15" s="2" t="s">
        <v>13</v>
      </c>
      <c r="D15" s="2" t="s">
        <v>16</v>
      </c>
      <c r="E15" s="2" t="s">
        <v>67</v>
      </c>
      <c r="F15" s="2">
        <v>2</v>
      </c>
      <c r="G15" s="2">
        <v>1</v>
      </c>
      <c r="H15" s="2">
        <v>1</v>
      </c>
      <c r="I15" s="155">
        <f>ROUND(F15*'Darba algas UZŅEMŠANĀ_jaunais'!$BD$3,0)</f>
        <v>605338</v>
      </c>
      <c r="J15" s="155">
        <f>G15*'Darba algas UZŅEMŠANĀ_jaunais'!$BB$3</f>
        <v>106675.85881875</v>
      </c>
      <c r="K15" s="155">
        <f>H15*'Darba algas UZŅEMŠANĀ_jaunais'!$BA$3</f>
        <v>22565.081665424997</v>
      </c>
      <c r="M15" s="139">
        <f>F15*'Darba algas UZŅEMŠANĀ_jaunais'!$BA$19</f>
        <v>367001.68700000003</v>
      </c>
      <c r="N15" s="139"/>
      <c r="O15" s="16"/>
      <c r="P15" s="16"/>
    </row>
    <row r="16" spans="1:16" x14ac:dyDescent="0.25">
      <c r="A16" s="172"/>
      <c r="B16" s="2"/>
      <c r="C16" s="2" t="s">
        <v>15</v>
      </c>
      <c r="D16" s="2"/>
      <c r="E16" s="2" t="s">
        <v>69</v>
      </c>
      <c r="F16" s="2">
        <v>2</v>
      </c>
      <c r="G16" s="2">
        <v>2</v>
      </c>
      <c r="H16" s="2">
        <v>2</v>
      </c>
      <c r="I16" s="155">
        <f>ROUND(F16*'Darba algas UZŅEMŠANĀ_jaunais'!$BD$3,0)</f>
        <v>605338</v>
      </c>
      <c r="J16" s="155">
        <f>G16*'Darba algas UZŅEMŠANĀ_jaunais'!$BB$3</f>
        <v>213351.7176375</v>
      </c>
      <c r="K16" s="155">
        <f>H16*'Darba algas UZŅEMŠANĀ_jaunais'!$BA$3</f>
        <v>45130.163330849995</v>
      </c>
      <c r="M16" s="139">
        <f>F16*'Darba algas UZŅEMŠANĀ_jaunais'!$BA$19</f>
        <v>367001.68700000003</v>
      </c>
      <c r="N16" s="139"/>
      <c r="O16" s="16"/>
      <c r="P16" s="16"/>
    </row>
    <row r="17" spans="1:16" x14ac:dyDescent="0.25">
      <c r="A17" s="172"/>
      <c r="B17" s="2"/>
      <c r="C17" s="2" t="s">
        <v>16</v>
      </c>
      <c r="D17" s="2"/>
      <c r="E17" s="2" t="s">
        <v>68</v>
      </c>
      <c r="F17" s="2">
        <v>2</v>
      </c>
      <c r="G17" s="2">
        <v>2</v>
      </c>
      <c r="H17" s="2">
        <v>2</v>
      </c>
      <c r="I17" s="155">
        <f>ROUND(F17*'Darba algas UZŅEMŠANĀ_jaunais'!$BD$3,0)</f>
        <v>605338</v>
      </c>
      <c r="J17" s="155">
        <f>G17*'Darba algas UZŅEMŠANĀ_jaunais'!$BB$3</f>
        <v>213351.7176375</v>
      </c>
      <c r="K17" s="155">
        <f>H17*'Darba algas UZŅEMŠANĀ_jaunais'!$BA$3</f>
        <v>45130.163330849995</v>
      </c>
      <c r="M17" s="139">
        <f>F17*'Darba algas UZŅEMŠANĀ_jaunais'!$BA$19</f>
        <v>367001.68700000003</v>
      </c>
      <c r="N17" s="139"/>
      <c r="O17" s="16"/>
      <c r="P17" s="16"/>
    </row>
    <row r="18" spans="1:16" x14ac:dyDescent="0.25">
      <c r="A18" s="172"/>
      <c r="B18" s="2"/>
      <c r="C18" s="2"/>
      <c r="D18" s="2"/>
      <c r="E18" s="2" t="s">
        <v>70</v>
      </c>
      <c r="F18" s="2">
        <v>2</v>
      </c>
      <c r="G18" s="2">
        <v>2</v>
      </c>
      <c r="H18" s="2">
        <v>2</v>
      </c>
      <c r="I18" s="155">
        <f>ROUND(F18*'Darba algas UZŅEMŠANĀ_jaunais'!$BD$5,0)</f>
        <v>361327</v>
      </c>
      <c r="J18" s="155">
        <f>G18*'Darba algas UZŅEMŠANĀ_jaunais'!$BB$5</f>
        <v>133460.05188750001</v>
      </c>
      <c r="K18" s="155">
        <f>H18*'Darba algas UZŅEMŠANĀ_jaunais'!$BA$5</f>
        <v>28230.726269850005</v>
      </c>
      <c r="M18" s="139">
        <f>F18*'Darba algas UZŅEMŠANĀ_jaunais'!$BA$26</f>
        <v>229574.26700000002</v>
      </c>
      <c r="N18" s="139"/>
      <c r="O18" s="16"/>
      <c r="P18" s="16"/>
    </row>
    <row r="19" spans="1:16" x14ac:dyDescent="0.25">
      <c r="A19" s="172"/>
      <c r="B19" s="2"/>
      <c r="C19" s="2"/>
      <c r="D19" s="2"/>
      <c r="E19" s="2" t="s">
        <v>87</v>
      </c>
      <c r="F19" s="2">
        <v>8</v>
      </c>
      <c r="G19" s="2">
        <v>25</v>
      </c>
      <c r="H19" s="2">
        <v>25</v>
      </c>
      <c r="I19" s="155">
        <f>ROUND(F19*'Darba algas UZŅEMŠANĀ_jaunais'!$BD$3,0)</f>
        <v>2421351</v>
      </c>
      <c r="J19" s="155">
        <f>G19*'Darba algas UZŅEMŠANĀ_jaunais'!$BB$3</f>
        <v>2666896.4704687498</v>
      </c>
      <c r="K19" s="155">
        <f>H19*'Darba algas UZŅEMŠANĀ_jaunais'!$BA$3</f>
        <v>564127.04163562495</v>
      </c>
      <c r="M19" s="139">
        <f>F19*'Darba algas UZŅEMŠANĀ_jaunais'!$BA$19</f>
        <v>1468006.7480000001</v>
      </c>
      <c r="N19" s="139"/>
      <c r="O19" s="16"/>
      <c r="P19" s="16"/>
    </row>
    <row r="20" spans="1:16" x14ac:dyDescent="0.25">
      <c r="A20" s="172"/>
      <c r="B20" s="2"/>
      <c r="C20" s="2"/>
      <c r="D20" s="2"/>
      <c r="E20" s="2" t="s">
        <v>72</v>
      </c>
      <c r="F20" s="2">
        <v>40</v>
      </c>
      <c r="G20" s="2">
        <v>2</v>
      </c>
      <c r="H20" s="2">
        <v>2</v>
      </c>
      <c r="I20" s="155">
        <f>ROUND(F20*'Darba algas UZŅEMŠANĀ_jaunais'!$BD$5,0)</f>
        <v>7226539</v>
      </c>
      <c r="J20" s="155">
        <f>G20*'Darba algas UZŅEMŠANĀ_jaunais'!$BB$5</f>
        <v>133460.05188750001</v>
      </c>
      <c r="K20" s="155">
        <f>H20*'Darba algas UZŅEMŠANĀ_jaunais'!$BA$5</f>
        <v>28230.726269850005</v>
      </c>
      <c r="M20" s="139">
        <f>F20*'Darba algas UZŅEMŠANĀ_jaunais'!$BA$26</f>
        <v>4591485.3400000008</v>
      </c>
      <c r="N20" s="139"/>
      <c r="O20" s="16"/>
      <c r="P20" s="16"/>
    </row>
    <row r="21" spans="1:16" ht="12" thickBot="1" x14ac:dyDescent="0.3">
      <c r="A21" s="172"/>
      <c r="B21" s="2"/>
      <c r="C21" s="2"/>
      <c r="D21" s="2"/>
      <c r="E21" s="2" t="s">
        <v>84</v>
      </c>
      <c r="F21" s="2">
        <v>40</v>
      </c>
      <c r="G21" s="2">
        <v>0</v>
      </c>
      <c r="H21" s="2">
        <v>0</v>
      </c>
      <c r="I21" s="155">
        <f>ROUND(F21*'Darba algas UZŅEMŠANĀ_jaunais'!$BD$6,0)</f>
        <v>3690275</v>
      </c>
      <c r="J21" s="155">
        <f>ROUND(G21*'Darba algas UZŅEMŠANĀ_jaunais'!$BA$6,0)</f>
        <v>0</v>
      </c>
      <c r="K21" s="155">
        <f>ROUND(H21*'Darba algas UZŅEMŠANĀ_jaunais'!$BB$6,0)</f>
        <v>0</v>
      </c>
      <c r="M21" s="139">
        <f>F21*'Darba algas UZŅEMŠANĀ_jaunais'!$BA$33</f>
        <v>2344669</v>
      </c>
      <c r="N21" s="139"/>
      <c r="O21" s="16"/>
      <c r="P21" s="16"/>
    </row>
    <row r="22" spans="1:16" ht="12" thickBot="1" x14ac:dyDescent="0.3">
      <c r="A22" s="172"/>
      <c r="B22" s="2"/>
      <c r="C22" s="2"/>
      <c r="D22" s="173" t="s">
        <v>179</v>
      </c>
      <c r="E22" s="174">
        <f>SUM(F22:H22)</f>
        <v>26021335</v>
      </c>
      <c r="F22" s="175">
        <f>I9</f>
        <v>19752870</v>
      </c>
      <c r="G22" s="175">
        <f>J9</f>
        <v>5174010</v>
      </c>
      <c r="H22" s="175">
        <f>K9</f>
        <v>1094455</v>
      </c>
      <c r="M22" s="139"/>
      <c r="N22" s="139"/>
    </row>
    <row r="23" spans="1:16" ht="20.5" x14ac:dyDescent="0.25">
      <c r="A23" s="167" t="s">
        <v>89</v>
      </c>
      <c r="B23" s="5" t="s">
        <v>17</v>
      </c>
      <c r="C23" s="5" t="s">
        <v>7</v>
      </c>
      <c r="D23" s="5" t="s">
        <v>18</v>
      </c>
      <c r="E23" s="169" t="s">
        <v>80</v>
      </c>
      <c r="F23" s="5">
        <f>F24+F26+F29+F33+F3+F35+F30+F31+F28+F27+F25+F32</f>
        <v>21</v>
      </c>
      <c r="G23" s="5">
        <v>29</v>
      </c>
      <c r="H23" s="5">
        <f>H24+H26+H29+H33+H3+H35+H30+H31+H28+H27+H25+H32</f>
        <v>29</v>
      </c>
      <c r="I23" s="170">
        <f>SUM(I24:I38)</f>
        <v>15085647</v>
      </c>
      <c r="J23" s="170">
        <f t="shared" ref="J23:K23" si="1">SUM(J24:J38)</f>
        <v>3827630.1911250004</v>
      </c>
      <c r="K23" s="170">
        <f t="shared" si="1"/>
        <v>696830.95445437508</v>
      </c>
      <c r="L23" s="153">
        <f>SUM(I23:K23)</f>
        <v>19610108.145579375</v>
      </c>
      <c r="M23" s="139">
        <f>SUM(M24:M38)</f>
        <v>9399994.868999999</v>
      </c>
      <c r="N23" s="139">
        <f>F23*'Darba algas UZŅEMŠANĀ_jaunais'!BE15</f>
        <v>290994.48</v>
      </c>
    </row>
    <row r="24" spans="1:16" x14ac:dyDescent="0.25">
      <c r="A24" s="2"/>
      <c r="B24" s="2"/>
      <c r="C24" s="2" t="s">
        <v>9</v>
      </c>
      <c r="D24" s="2" t="s">
        <v>10</v>
      </c>
      <c r="E24" s="2" t="s">
        <v>64</v>
      </c>
      <c r="F24" s="2">
        <v>0</v>
      </c>
      <c r="G24" s="2">
        <v>1</v>
      </c>
      <c r="H24" s="2">
        <v>1</v>
      </c>
      <c r="I24" s="155">
        <f>ROUND(F24*'Darba algas UZŅEMŠANĀ_jaunais'!$BD$3,0)</f>
        <v>0</v>
      </c>
      <c r="J24" s="155">
        <f>G24*'Darba algas UZŅEMŠANĀ_jaunais'!$BB$3</f>
        <v>106675.85881875</v>
      </c>
      <c r="K24" s="155">
        <f>H24*'Darba algas UZŅEMŠANĀ_jaunais'!$BA$3</f>
        <v>22565.081665424997</v>
      </c>
      <c r="M24" s="139">
        <f>F24*'Darba algas UZŅEMŠANĀ_jaunais'!$BA$19</f>
        <v>0</v>
      </c>
      <c r="N24" s="139"/>
    </row>
    <row r="25" spans="1:16" x14ac:dyDescent="0.25">
      <c r="A25" s="2"/>
      <c r="B25" s="2"/>
      <c r="C25" s="2" t="s">
        <v>10</v>
      </c>
      <c r="D25" s="2" t="s">
        <v>11</v>
      </c>
      <c r="E25" s="2" t="s">
        <v>82</v>
      </c>
      <c r="F25" s="2">
        <v>7</v>
      </c>
      <c r="G25" s="2">
        <v>0</v>
      </c>
      <c r="H25" s="2">
        <v>0</v>
      </c>
      <c r="I25" s="155">
        <f>ROUND(F25*'Darba algas UZŅEMŠANĀ_jaunais'!$BD$3,0)</f>
        <v>2118682</v>
      </c>
      <c r="J25" s="155">
        <f>G25*'Darba algas UZŅEMŠANĀ_jaunais'!$BB$3</f>
        <v>0</v>
      </c>
      <c r="K25" s="155">
        <f>H25*'Darba algas UZŅEMŠANĀ_jaunais'!$BA$3</f>
        <v>0</v>
      </c>
      <c r="M25" s="139">
        <f>F25*'Darba algas UZŅEMŠANĀ_jaunais'!$BA$19</f>
        <v>1284505.9045000002</v>
      </c>
      <c r="N25" s="139"/>
    </row>
    <row r="26" spans="1:16" x14ac:dyDescent="0.25">
      <c r="A26" s="2"/>
      <c r="B26" s="2"/>
      <c r="C26" s="2" t="s">
        <v>11</v>
      </c>
      <c r="D26" s="2" t="s">
        <v>12</v>
      </c>
      <c r="E26" s="2" t="s">
        <v>65</v>
      </c>
      <c r="F26" s="2">
        <v>1</v>
      </c>
      <c r="G26" s="2">
        <v>6</v>
      </c>
      <c r="H26" s="2">
        <v>6</v>
      </c>
      <c r="I26" s="155">
        <f>ROUND(F26*'Darba algas UZŅEMŠANĀ_jaunais'!$BD$3,0)</f>
        <v>302669</v>
      </c>
      <c r="J26" s="155">
        <f>G26*'Darba algas UZŅEMŠANĀ_jaunais'!$BB$3</f>
        <v>640055.15291249997</v>
      </c>
      <c r="K26" s="155">
        <f>H26*'Darba algas UZŅEMŠANĀ_jaunais'!$BA$3</f>
        <v>135390.48999254999</v>
      </c>
      <c r="M26" s="139">
        <f>F26*'Darba algas UZŅEMŠANĀ_jaunais'!$BA$19</f>
        <v>183500.84350000002</v>
      </c>
      <c r="N26" s="139"/>
    </row>
    <row r="27" spans="1:16" x14ac:dyDescent="0.25">
      <c r="A27" s="2"/>
      <c r="B27" s="2"/>
      <c r="C27" s="2" t="s">
        <v>12</v>
      </c>
      <c r="D27" s="2" t="s">
        <v>19</v>
      </c>
      <c r="E27" s="2" t="s">
        <v>83</v>
      </c>
      <c r="F27" s="2">
        <v>1</v>
      </c>
      <c r="G27" s="2">
        <v>1</v>
      </c>
      <c r="H27" s="2">
        <v>1</v>
      </c>
      <c r="I27" s="155">
        <f>ROUND(F27*'Darba algas UZŅEMŠANĀ_jaunais'!$BD$3,0)</f>
        <v>302669</v>
      </c>
      <c r="J27" s="155">
        <f>G27*'Darba algas UZŅEMŠANĀ_jaunais'!$BB$3</f>
        <v>106675.85881875</v>
      </c>
      <c r="K27" s="155">
        <f>H27*'Darba algas UZŅEMŠANĀ_jaunais'!$BA$3</f>
        <v>22565.081665424997</v>
      </c>
      <c r="M27" s="139">
        <f>F27*'Darba algas UZŅEMŠANĀ_jaunais'!$BA$19</f>
        <v>183500.84350000002</v>
      </c>
      <c r="N27" s="139"/>
    </row>
    <row r="28" spans="1:16" x14ac:dyDescent="0.25">
      <c r="A28" s="2"/>
      <c r="B28" s="2"/>
      <c r="C28" s="2" t="s">
        <v>19</v>
      </c>
      <c r="D28" s="2" t="s">
        <v>14</v>
      </c>
      <c r="E28" s="2" t="s">
        <v>66</v>
      </c>
      <c r="F28" s="2">
        <v>0</v>
      </c>
      <c r="G28" s="2">
        <v>0</v>
      </c>
      <c r="H28" s="2">
        <v>0</v>
      </c>
      <c r="I28" s="155">
        <f>ROUND(F28*'Darba algas UZŅEMŠANĀ_jaunais'!$BD$3,0)</f>
        <v>0</v>
      </c>
      <c r="J28" s="155">
        <f>G28*'Darba algas UZŅEMŠANĀ_jaunais'!$BB$3</f>
        <v>0</v>
      </c>
      <c r="K28" s="155">
        <f>H28*'Darba algas UZŅEMŠANĀ_jaunais'!$BA$3</f>
        <v>0</v>
      </c>
      <c r="M28" s="139">
        <f>F28*'Darba algas UZŅEMŠANĀ_jaunais'!$BA$19</f>
        <v>0</v>
      </c>
      <c r="N28" s="139"/>
    </row>
    <row r="29" spans="1:16" x14ac:dyDescent="0.25">
      <c r="A29" s="2"/>
      <c r="B29" s="2"/>
      <c r="C29" s="2" t="s">
        <v>14</v>
      </c>
      <c r="D29" s="2" t="s">
        <v>13</v>
      </c>
      <c r="E29" s="2" t="s">
        <v>67</v>
      </c>
      <c r="F29" s="2">
        <v>1</v>
      </c>
      <c r="G29" s="2">
        <v>1</v>
      </c>
      <c r="H29" s="2">
        <v>1</v>
      </c>
      <c r="I29" s="155">
        <f>ROUND(F29*'Darba algas UZŅEMŠANĀ_jaunais'!$BD$3,0)</f>
        <v>302669</v>
      </c>
      <c r="J29" s="155">
        <f>G29*'Darba algas UZŅEMŠANĀ_jaunais'!$BB$3</f>
        <v>106675.85881875</v>
      </c>
      <c r="K29" s="155">
        <f>H29*'Darba algas UZŅEMŠANĀ_jaunais'!$BA$3</f>
        <v>22565.081665424997</v>
      </c>
      <c r="M29" s="139">
        <f>F29*'Darba algas UZŅEMŠANĀ_jaunais'!$BA$19</f>
        <v>183500.84350000002</v>
      </c>
      <c r="N29" s="139"/>
    </row>
    <row r="30" spans="1:16" x14ac:dyDescent="0.25">
      <c r="A30" s="2"/>
      <c r="B30" s="2"/>
      <c r="C30" s="2" t="s">
        <v>13</v>
      </c>
      <c r="D30" s="2" t="s">
        <v>15</v>
      </c>
      <c r="E30" s="2" t="s">
        <v>74</v>
      </c>
      <c r="F30" s="2">
        <v>0</v>
      </c>
      <c r="G30" s="2">
        <v>0</v>
      </c>
      <c r="H30" s="2">
        <v>0</v>
      </c>
      <c r="I30" s="155">
        <f>ROUND(F30*'Darba algas UZŅEMŠANĀ_jaunais'!$BD$3,0)</f>
        <v>0</v>
      </c>
      <c r="J30" s="155">
        <f>G30*'Darba algas UZŅEMŠANĀ_jaunais'!$BB$3</f>
        <v>0</v>
      </c>
      <c r="K30" s="155">
        <f>H30*'Darba algas UZŅEMŠANĀ_jaunais'!$BA$3</f>
        <v>0</v>
      </c>
      <c r="M30" s="139">
        <f>F30*'Darba algas UZŅEMŠANĀ_jaunais'!$BA$19</f>
        <v>0</v>
      </c>
      <c r="N30" s="139"/>
    </row>
    <row r="31" spans="1:16" x14ac:dyDescent="0.25">
      <c r="A31" s="2"/>
      <c r="B31" s="2"/>
      <c r="C31" s="2" t="s">
        <v>15</v>
      </c>
      <c r="D31" s="2" t="s">
        <v>16</v>
      </c>
      <c r="E31" s="2" t="s">
        <v>75</v>
      </c>
      <c r="F31" s="2">
        <v>1</v>
      </c>
      <c r="G31" s="2">
        <v>1</v>
      </c>
      <c r="H31" s="2">
        <v>1</v>
      </c>
      <c r="I31" s="155">
        <f>ROUND(F31*'Darba algas UZŅEMŠANĀ_jaunais'!$BD$3,0)</f>
        <v>302669</v>
      </c>
      <c r="J31" s="155">
        <f>G31*'Darba algas UZŅEMŠANĀ_jaunais'!$BB$3</f>
        <v>106675.85881875</v>
      </c>
      <c r="K31" s="155">
        <f>H31*'Darba algas UZŅEMŠANĀ_jaunais'!$BA$3</f>
        <v>22565.081665424997</v>
      </c>
      <c r="M31" s="139">
        <f>F31*'Darba algas UZŅEMŠANĀ_jaunais'!$BA$19</f>
        <v>183500.84350000002</v>
      </c>
      <c r="N31" s="139"/>
    </row>
    <row r="32" spans="1:16" x14ac:dyDescent="0.25">
      <c r="A32" s="2"/>
      <c r="B32" s="2"/>
      <c r="C32" s="2" t="s">
        <v>16</v>
      </c>
      <c r="D32" s="2"/>
      <c r="E32" s="2" t="s">
        <v>69</v>
      </c>
      <c r="F32" s="2">
        <v>2</v>
      </c>
      <c r="G32" s="2">
        <v>8</v>
      </c>
      <c r="H32" s="2">
        <v>8</v>
      </c>
      <c r="I32" s="155">
        <f>ROUND(F32*'Darba algas UZŅEMŠANĀ_jaunais'!$BD$3,0)</f>
        <v>605338</v>
      </c>
      <c r="J32" s="155">
        <f>G32*'Darba algas UZŅEMŠANĀ_jaunais'!$BB$3</f>
        <v>853406.87054999999</v>
      </c>
      <c r="K32" s="155">
        <f>H32*'Darba algas UZŅEMŠANĀ_jaunais'!$BA$3</f>
        <v>180520.65332339998</v>
      </c>
      <c r="M32" s="139">
        <f>F32*'Darba algas UZŅEMŠANĀ_jaunais'!$BA$19</f>
        <v>367001.68700000003</v>
      </c>
      <c r="N32" s="139"/>
    </row>
    <row r="33" spans="1:14" x14ac:dyDescent="0.25">
      <c r="A33" s="2"/>
      <c r="B33" s="2"/>
      <c r="C33" s="2"/>
      <c r="D33" s="2"/>
      <c r="E33" s="2" t="s">
        <v>68</v>
      </c>
      <c r="F33" s="2">
        <v>2</v>
      </c>
      <c r="G33" s="2">
        <v>3</v>
      </c>
      <c r="H33" s="2">
        <v>3</v>
      </c>
      <c r="I33" s="155">
        <f>ROUND(F33*'Darba algas UZŅEMŠANĀ_jaunais'!$BD$3,0)</f>
        <v>605338</v>
      </c>
      <c r="J33" s="155">
        <f>G33*'Darba algas UZŅEMŠANĀ_jaunais'!$BB$3</f>
        <v>320027.57645624998</v>
      </c>
      <c r="K33" s="155">
        <f>H33*'Darba algas UZŅEMŠANĀ_jaunais'!$BA$3</f>
        <v>67695.244996274996</v>
      </c>
      <c r="M33" s="139">
        <f>F33*'Darba algas UZŅEMŠANĀ_jaunais'!$BA$19</f>
        <v>367001.68700000003</v>
      </c>
      <c r="N33" s="139"/>
    </row>
    <row r="34" spans="1:14" x14ac:dyDescent="0.25">
      <c r="A34" s="2"/>
      <c r="B34" s="2"/>
      <c r="C34" s="2"/>
      <c r="D34" s="2"/>
      <c r="E34" s="2" t="s">
        <v>70</v>
      </c>
      <c r="F34" s="2">
        <v>1</v>
      </c>
      <c r="G34" s="2">
        <v>3</v>
      </c>
      <c r="H34" s="2">
        <v>3</v>
      </c>
      <c r="I34" s="155">
        <f>ROUND(F34*'Darba algas UZŅEMŠANĀ_jaunais'!$BD$5,0)</f>
        <v>180663</v>
      </c>
      <c r="J34" s="155">
        <f>G34*'Darba algas UZŅEMŠANĀ_jaunais'!$BB$5</f>
        <v>200190.07783125003</v>
      </c>
      <c r="K34" s="155">
        <f>H34*'Darba algas UZŅEMŠANĀ_jaunais'!$BA$5</f>
        <v>42346.089404775004</v>
      </c>
      <c r="M34" s="139">
        <f>F34*'Darba algas UZŅEMŠANĀ_jaunais'!$BA$26</f>
        <v>114787.13350000001</v>
      </c>
      <c r="N34" s="139"/>
    </row>
    <row r="35" spans="1:14" x14ac:dyDescent="0.25">
      <c r="A35" s="2"/>
      <c r="B35" s="2"/>
      <c r="C35" s="2"/>
      <c r="D35" s="2"/>
      <c r="E35" s="2" t="s">
        <v>87</v>
      </c>
      <c r="F35" s="2">
        <v>6</v>
      </c>
      <c r="G35" s="2">
        <v>8</v>
      </c>
      <c r="H35" s="2">
        <v>8</v>
      </c>
      <c r="I35" s="155">
        <f>ROUND(F35*'Darba algas UZŅEMŠANĀ_jaunais'!$BD$3,0)</f>
        <v>1816013</v>
      </c>
      <c r="J35" s="155">
        <f>G35*'Darba algas UZŅEMŠANĀ_jaunais'!$BB$3</f>
        <v>853406.87054999999</v>
      </c>
      <c r="K35" s="155">
        <f>H34*'Darba algas UZŅEMŠANĀ_jaunais'!$BA$3</f>
        <v>67695.244996274996</v>
      </c>
      <c r="M35" s="139">
        <f>F35*'Darba algas UZŅEMŠANĀ_jaunais'!$BA$19</f>
        <v>1101005.0610000002</v>
      </c>
      <c r="N35" s="139"/>
    </row>
    <row r="36" spans="1:14" x14ac:dyDescent="0.25">
      <c r="A36" s="2"/>
      <c r="B36" s="2"/>
      <c r="C36" s="2"/>
      <c r="D36" s="2"/>
      <c r="E36" s="2" t="s">
        <v>72</v>
      </c>
      <c r="F36" s="2">
        <v>30</v>
      </c>
      <c r="G36" s="2">
        <v>8</v>
      </c>
      <c r="H36" s="2">
        <v>8</v>
      </c>
      <c r="I36" s="155">
        <f>ROUND(F36*'Darba algas UZŅEMŠANĀ_jaunais'!$BD$5,0)</f>
        <v>5419904</v>
      </c>
      <c r="J36" s="155">
        <f>G36*'Darba algas UZŅEMŠANĀ_jaunais'!$BB$5</f>
        <v>533840.20755000005</v>
      </c>
      <c r="K36" s="155">
        <f>H36*'Darba algas UZŅEMŠANĀ_jaunais'!$BA$5</f>
        <v>112922.90507940002</v>
      </c>
      <c r="M36" s="139">
        <f>F36*'Darba algas UZŅEMŠANĀ_jaunais'!$BA$26</f>
        <v>3443614.0050000004</v>
      </c>
      <c r="N36" s="139"/>
    </row>
    <row r="37" spans="1:14" x14ac:dyDescent="0.25">
      <c r="A37" s="2"/>
      <c r="B37" s="2"/>
      <c r="D37" s="2"/>
      <c r="E37" s="2" t="s">
        <v>76</v>
      </c>
      <c r="F37" s="2">
        <v>2</v>
      </c>
      <c r="G37" s="2">
        <v>0</v>
      </c>
      <c r="H37" s="2">
        <v>0</v>
      </c>
      <c r="I37" s="155">
        <f>ROUND(F37*'Darba algas UZŅEMŠANĀ_jaunais'!$BD$5,0)</f>
        <v>361327</v>
      </c>
      <c r="J37" s="155">
        <f>G37*'Darba algas UZŅEMŠANĀ_jaunais'!$BB$5</f>
        <v>0</v>
      </c>
      <c r="K37" s="155">
        <f>H37*'Darba algas UZŅEMŠANĀ_jaunais'!$BA$5</f>
        <v>0</v>
      </c>
      <c r="M37" s="139">
        <f>F37*'Darba algas UZŅEMŠANĀ_jaunais'!$BA$26</f>
        <v>229574.26700000002</v>
      </c>
      <c r="N37" s="139"/>
    </row>
    <row r="38" spans="1:14" ht="12" thickBot="1" x14ac:dyDescent="0.3">
      <c r="A38" s="176"/>
      <c r="B38" s="176"/>
      <c r="D38" s="176"/>
      <c r="E38" s="176" t="s">
        <v>73</v>
      </c>
      <c r="F38" s="176">
        <v>30</v>
      </c>
      <c r="G38" s="176">
        <v>0</v>
      </c>
      <c r="H38" s="176">
        <v>0</v>
      </c>
      <c r="I38" s="155">
        <f>ROUND(F38*'Darba algas UZŅEMŠANĀ_jaunais'!$BD$6,0)</f>
        <v>2767706</v>
      </c>
      <c r="J38" s="155">
        <f>ROUND(G38*'Darba algas UZŅEMŠANĀ_jaunais'!$BA$6,0)</f>
        <v>0</v>
      </c>
      <c r="K38" s="155">
        <f>ROUND(H38*'Darba algas UZŅEMŠANĀ_jaunais'!$BB$6,0)</f>
        <v>0</v>
      </c>
      <c r="M38" s="139">
        <f>F38*'Darba algas UZŅEMŠANĀ_jaunais'!$BA$33</f>
        <v>1758501.75</v>
      </c>
      <c r="N38" s="139"/>
    </row>
    <row r="39" spans="1:14" ht="12" thickBot="1" x14ac:dyDescent="0.3">
      <c r="A39" s="2"/>
      <c r="B39" s="2"/>
      <c r="D39" s="173" t="s">
        <v>179</v>
      </c>
      <c r="E39" s="174">
        <f>SUM(F39:H39)</f>
        <v>19610108.145579375</v>
      </c>
      <c r="F39" s="175">
        <f>I23</f>
        <v>15085647</v>
      </c>
      <c r="G39" s="175">
        <f>J23</f>
        <v>3827630.1911250004</v>
      </c>
      <c r="H39" s="175">
        <f>K23</f>
        <v>696830.95445437508</v>
      </c>
      <c r="M39" s="139"/>
      <c r="N39" s="139"/>
    </row>
    <row r="40" spans="1:14" ht="20.5" x14ac:dyDescent="0.25">
      <c r="A40" s="167" t="s">
        <v>89</v>
      </c>
      <c r="B40" s="5" t="s">
        <v>20</v>
      </c>
      <c r="C40" s="5" t="s">
        <v>21</v>
      </c>
      <c r="D40" s="5" t="s">
        <v>21</v>
      </c>
      <c r="E40" s="169" t="s">
        <v>80</v>
      </c>
      <c r="F40" s="5">
        <f>SUM(F41:F50,F52)</f>
        <v>14</v>
      </c>
      <c r="G40" s="5">
        <f>SUM(G41:G50,G52)</f>
        <v>12</v>
      </c>
      <c r="H40" s="5">
        <f>SUM(H41:H50,H52)</f>
        <v>12</v>
      </c>
      <c r="I40" s="170">
        <f>SUM(I41:I56)</f>
        <v>10133954</v>
      </c>
      <c r="J40" s="170">
        <f t="shared" ref="J40:K40" si="2">SUM(J41:J56)</f>
        <v>1280110.3058249999</v>
      </c>
      <c r="K40" s="170">
        <f t="shared" si="2"/>
        <v>112825.40832712498</v>
      </c>
      <c r="L40" s="153">
        <f>SUM(I40:K40)</f>
        <v>11526889.714152126</v>
      </c>
      <c r="M40" s="139">
        <f>SUM(M41:M56)</f>
        <v>6315494.705000001</v>
      </c>
      <c r="N40" s="139">
        <f>F40*'Darba algas UZŅEMŠANĀ_jaunais'!BE15</f>
        <v>193996.31999999998</v>
      </c>
    </row>
    <row r="41" spans="1:14" x14ac:dyDescent="0.25">
      <c r="A41" s="172"/>
      <c r="B41" s="2"/>
      <c r="C41" s="2" t="s">
        <v>22</v>
      </c>
      <c r="D41" s="2" t="s">
        <v>22</v>
      </c>
      <c r="E41" s="171" t="s">
        <v>64</v>
      </c>
      <c r="F41" s="177">
        <v>0</v>
      </c>
      <c r="G41" s="2">
        <v>0</v>
      </c>
      <c r="H41" s="2">
        <v>0</v>
      </c>
      <c r="I41" s="155">
        <f>ROUND(F41*'Darba algas UZŅEMŠANĀ_jaunais'!$BD$3,0)</f>
        <v>0</v>
      </c>
      <c r="J41" s="155">
        <f>G41*'Darba algas UZŅEMŠANĀ_jaunais'!$BB$3</f>
        <v>0</v>
      </c>
      <c r="K41" s="155">
        <f>H41*'Darba algas UZŅEMŠANĀ_jaunais'!$BA$3</f>
        <v>0</v>
      </c>
      <c r="M41" s="139">
        <f>F41*'Darba algas UZŅEMŠANĀ_jaunais'!$BA$19</f>
        <v>0</v>
      </c>
      <c r="N41" s="139"/>
    </row>
    <row r="42" spans="1:14" x14ac:dyDescent="0.25">
      <c r="A42" s="172"/>
      <c r="B42" s="2"/>
      <c r="C42" s="2"/>
      <c r="D42" s="2"/>
      <c r="E42" s="171" t="s">
        <v>82</v>
      </c>
      <c r="F42" s="177">
        <v>0</v>
      </c>
      <c r="G42" s="2">
        <v>0</v>
      </c>
      <c r="H42" s="2">
        <v>0</v>
      </c>
      <c r="I42" s="155">
        <f>ROUND(F42*'Darba algas UZŅEMŠANĀ_jaunais'!$BD$3,0)</f>
        <v>0</v>
      </c>
      <c r="J42" s="155">
        <f>G42*'Darba algas UZŅEMŠANĀ_jaunais'!$BB$3</f>
        <v>0</v>
      </c>
      <c r="K42" s="155">
        <f>H42*'Darba algas UZŅEMŠANĀ_jaunais'!$BA$3</f>
        <v>0</v>
      </c>
      <c r="M42" s="139">
        <f>F42*'Darba algas UZŅEMŠANĀ_jaunais'!$BA$19</f>
        <v>0</v>
      </c>
      <c r="N42" s="139"/>
    </row>
    <row r="43" spans="1:14" x14ac:dyDescent="0.25">
      <c r="A43" s="172"/>
      <c r="B43" s="2"/>
      <c r="C43" s="2"/>
      <c r="D43" s="2"/>
      <c r="E43" s="171" t="s">
        <v>65</v>
      </c>
      <c r="F43" s="177">
        <v>2</v>
      </c>
      <c r="G43" s="2">
        <v>1</v>
      </c>
      <c r="H43" s="2">
        <v>1</v>
      </c>
      <c r="I43" s="155">
        <f>ROUND(F43*'Darba algas UZŅEMŠANĀ_jaunais'!$BD$3,0)</f>
        <v>605338</v>
      </c>
      <c r="J43" s="155">
        <f>G43*'Darba algas UZŅEMŠANĀ_jaunais'!$BB$3</f>
        <v>106675.85881875</v>
      </c>
      <c r="K43" s="155">
        <f>H43*'Darba algas UZŅEMŠANĀ_jaunais'!$BA$3</f>
        <v>22565.081665424997</v>
      </c>
      <c r="M43" s="139">
        <f>F43*'Darba algas UZŅEMŠANĀ_jaunais'!$BA$19</f>
        <v>367001.68700000003</v>
      </c>
      <c r="N43" s="139"/>
    </row>
    <row r="44" spans="1:14" x14ac:dyDescent="0.25">
      <c r="A44" s="172"/>
      <c r="B44" s="2"/>
      <c r="C44" s="2"/>
      <c r="D44" s="2"/>
      <c r="E44" s="2" t="s">
        <v>83</v>
      </c>
      <c r="F44" s="177">
        <v>0</v>
      </c>
      <c r="G44" s="2">
        <v>1</v>
      </c>
      <c r="H44" s="2">
        <v>1</v>
      </c>
      <c r="I44" s="155">
        <f>ROUND(F44*'Darba algas UZŅEMŠANĀ_jaunais'!$BD$3,0)</f>
        <v>0</v>
      </c>
      <c r="J44" s="155">
        <f>G44*'Darba algas UZŅEMŠANĀ_jaunais'!$BB$3</f>
        <v>106675.85881875</v>
      </c>
      <c r="K44" s="155">
        <f>H44*'Darba algas UZŅEMŠANĀ_jaunais'!$BA$3</f>
        <v>22565.081665424997</v>
      </c>
      <c r="M44" s="139">
        <f>F44*'Darba algas UZŅEMŠANĀ_jaunais'!$BA$19</f>
        <v>0</v>
      </c>
      <c r="N44" s="139"/>
    </row>
    <row r="45" spans="1:14" x14ac:dyDescent="0.25">
      <c r="A45" s="172"/>
      <c r="B45" s="2"/>
      <c r="C45" s="2"/>
      <c r="D45" s="2"/>
      <c r="E45" s="171" t="s">
        <v>66</v>
      </c>
      <c r="F45" s="177">
        <v>0</v>
      </c>
      <c r="G45" s="2">
        <v>1</v>
      </c>
      <c r="H45" s="2">
        <v>1</v>
      </c>
      <c r="I45" s="155">
        <f>ROUND(F45*'Darba algas UZŅEMŠANĀ_jaunais'!$BD$3,0)</f>
        <v>0</v>
      </c>
      <c r="J45" s="155">
        <f>G45*'Darba algas UZŅEMŠANĀ_jaunais'!$BB$3</f>
        <v>106675.85881875</v>
      </c>
      <c r="K45" s="155">
        <f>H45*'Darba algas UZŅEMŠANĀ_jaunais'!$BA$3</f>
        <v>22565.081665424997</v>
      </c>
      <c r="M45" s="139">
        <f>F45*'Darba algas UZŅEMŠANĀ_jaunais'!$BA$19</f>
        <v>0</v>
      </c>
      <c r="N45" s="139"/>
    </row>
    <row r="46" spans="1:14" x14ac:dyDescent="0.25">
      <c r="A46" s="172"/>
      <c r="B46" s="2"/>
      <c r="C46" s="2"/>
      <c r="D46" s="2"/>
      <c r="E46" s="171" t="s">
        <v>67</v>
      </c>
      <c r="F46" s="177">
        <v>0</v>
      </c>
      <c r="G46" s="2">
        <v>0</v>
      </c>
      <c r="H46" s="2">
        <v>0</v>
      </c>
      <c r="I46" s="155">
        <f>ROUND(F46*'Darba algas UZŅEMŠANĀ_jaunais'!$BD$3,0)</f>
        <v>0</v>
      </c>
      <c r="J46" s="155">
        <f>G46*'Darba algas UZŅEMŠANĀ_jaunais'!$BB$3</f>
        <v>0</v>
      </c>
      <c r="K46" s="155">
        <f>H46*'Darba algas UZŅEMŠANĀ_jaunais'!$BA$3</f>
        <v>0</v>
      </c>
      <c r="M46" s="139">
        <f>F46*'Darba algas UZŅEMŠANĀ_jaunais'!$BA$19</f>
        <v>0</v>
      </c>
      <c r="N46" s="139"/>
    </row>
    <row r="47" spans="1:14" x14ac:dyDescent="0.25">
      <c r="A47" s="172"/>
      <c r="B47" s="2"/>
      <c r="C47" s="2"/>
      <c r="D47" s="2"/>
      <c r="E47" s="171" t="s">
        <v>74</v>
      </c>
      <c r="F47" s="177">
        <v>6</v>
      </c>
      <c r="G47" s="2">
        <v>2</v>
      </c>
      <c r="H47" s="2">
        <v>2</v>
      </c>
      <c r="I47" s="155">
        <f>ROUND(F47*'Darba algas UZŅEMŠANĀ_jaunais'!$BD$3,0)</f>
        <v>1816013</v>
      </c>
      <c r="J47" s="155">
        <f>G47*'Darba algas UZŅEMŠANĀ_jaunais'!$BB$3</f>
        <v>213351.7176375</v>
      </c>
      <c r="K47" s="155">
        <f>H47*'Darba algas UZŅEMŠANĀ_jaunais'!$BA$3</f>
        <v>45130.163330849995</v>
      </c>
      <c r="M47" s="139">
        <f>F47*'Darba algas UZŅEMŠANĀ_jaunais'!$BA$19</f>
        <v>1101005.0610000002</v>
      </c>
      <c r="N47" s="139"/>
    </row>
    <row r="48" spans="1:14" x14ac:dyDescent="0.25">
      <c r="A48" s="172"/>
      <c r="B48" s="2"/>
      <c r="C48" s="2"/>
      <c r="D48" s="2"/>
      <c r="E48" s="171" t="s">
        <v>75</v>
      </c>
      <c r="F48" s="177">
        <v>0</v>
      </c>
      <c r="G48" s="2">
        <v>0</v>
      </c>
      <c r="H48" s="2">
        <v>0</v>
      </c>
      <c r="I48" s="155">
        <f>ROUND(F48*'Darba algas UZŅEMŠANĀ_jaunais'!$BD$3,0)</f>
        <v>0</v>
      </c>
      <c r="J48" s="155">
        <f>G48*'Darba algas UZŅEMŠANĀ_jaunais'!$BB$3</f>
        <v>0</v>
      </c>
      <c r="K48" s="155">
        <f>H48*'Darba algas UZŅEMŠANĀ_jaunais'!$BA$3</f>
        <v>0</v>
      </c>
      <c r="M48" s="139">
        <f>F48*'Darba algas UZŅEMŠANĀ_jaunais'!$BA$19</f>
        <v>0</v>
      </c>
      <c r="N48" s="139"/>
    </row>
    <row r="49" spans="1:15" x14ac:dyDescent="0.25">
      <c r="A49" s="172"/>
      <c r="B49" s="2"/>
      <c r="C49" s="2"/>
      <c r="D49" s="2"/>
      <c r="E49" s="171" t="s">
        <v>69</v>
      </c>
      <c r="F49" s="177">
        <v>2</v>
      </c>
      <c r="G49" s="2">
        <v>0</v>
      </c>
      <c r="H49" s="2">
        <v>0</v>
      </c>
      <c r="I49" s="155">
        <f>ROUND(F49*'Darba algas UZŅEMŠANĀ_jaunais'!$BD$3,0)</f>
        <v>605338</v>
      </c>
      <c r="J49" s="155">
        <f>G49*'Darba algas UZŅEMŠANĀ_jaunais'!$BB$3</f>
        <v>0</v>
      </c>
      <c r="K49" s="155">
        <f>H49*'Darba algas UZŅEMŠANĀ_jaunais'!$BA$3</f>
        <v>0</v>
      </c>
      <c r="M49" s="139">
        <f>F49*'Darba algas UZŅEMŠANĀ_jaunais'!$BA$19</f>
        <v>367001.68700000003</v>
      </c>
      <c r="N49" s="139"/>
    </row>
    <row r="50" spans="1:15" x14ac:dyDescent="0.25">
      <c r="A50" s="172"/>
      <c r="B50" s="2"/>
      <c r="C50" s="2"/>
      <c r="D50" s="2"/>
      <c r="E50" s="171" t="s">
        <v>68</v>
      </c>
      <c r="F50" s="177">
        <v>1</v>
      </c>
      <c r="G50" s="2">
        <v>0</v>
      </c>
      <c r="H50" s="2">
        <v>0</v>
      </c>
      <c r="I50" s="155">
        <f>ROUND(F50*'Darba algas UZŅEMŠANĀ_jaunais'!$BD$3,0)</f>
        <v>302669</v>
      </c>
      <c r="J50" s="155">
        <f>G50*'Darba algas UZŅEMŠANĀ_jaunais'!$BB$3</f>
        <v>0</v>
      </c>
      <c r="K50" s="155">
        <f>H50*'Darba algas UZŅEMŠANĀ_jaunais'!$BA$3</f>
        <v>0</v>
      </c>
      <c r="M50" s="139">
        <f>F50*'Darba algas UZŅEMŠANĀ_jaunais'!$BA$19</f>
        <v>183500.84350000002</v>
      </c>
      <c r="N50" s="139"/>
    </row>
    <row r="51" spans="1:15" x14ac:dyDescent="0.25">
      <c r="A51" s="172"/>
      <c r="B51" s="2"/>
      <c r="C51" s="2"/>
      <c r="D51" s="2"/>
      <c r="E51" s="171" t="s">
        <v>70</v>
      </c>
      <c r="F51" s="177">
        <v>2</v>
      </c>
      <c r="G51" s="2">
        <v>0</v>
      </c>
      <c r="H51" s="2">
        <v>0</v>
      </c>
      <c r="I51" s="155">
        <f>ROUND(F51*'Darba algas UZŅEMŠANĀ_jaunais'!$BD$5,0)</f>
        <v>361327</v>
      </c>
      <c r="J51" s="155">
        <f>G51*'Darba algas UZŅEMŠANĀ_jaunais'!$BB$5</f>
        <v>0</v>
      </c>
      <c r="K51" s="155">
        <f>H51*'Darba algas UZŅEMŠANĀ_jaunais'!$BA$5</f>
        <v>0</v>
      </c>
      <c r="M51" s="139">
        <f>F51*'Darba algas UZŅEMŠANĀ_jaunais'!$BA$26</f>
        <v>229574.26700000002</v>
      </c>
      <c r="N51" s="139"/>
    </row>
    <row r="52" spans="1:15" x14ac:dyDescent="0.25">
      <c r="A52" s="172"/>
      <c r="B52" s="2"/>
      <c r="C52" s="2"/>
      <c r="D52" s="2"/>
      <c r="E52" s="171" t="s">
        <v>87</v>
      </c>
      <c r="F52" s="177">
        <v>3</v>
      </c>
      <c r="G52" s="2">
        <v>7</v>
      </c>
      <c r="H52" s="2">
        <v>7</v>
      </c>
      <c r="I52" s="155">
        <f>ROUND(F52*'Darba algas UZŅEMŠANĀ_jaunais'!$BD$3,0)</f>
        <v>908007</v>
      </c>
      <c r="J52" s="155">
        <f>G52*'Darba algas UZŅEMŠANĀ_jaunais'!$BB$3</f>
        <v>746731.01173124998</v>
      </c>
      <c r="K52" s="155">
        <f>H51*'Darba algas UZŅEMŠANĀ_jaunais'!$BA$3</f>
        <v>0</v>
      </c>
      <c r="M52" s="139">
        <f>F52*'Darba algas UZŅEMŠANĀ_jaunais'!$BA$19</f>
        <v>550502.53050000011</v>
      </c>
      <c r="N52" s="139"/>
    </row>
    <row r="53" spans="1:15" x14ac:dyDescent="0.25">
      <c r="A53" s="172"/>
      <c r="B53" s="2"/>
      <c r="C53" s="2"/>
      <c r="D53" s="2"/>
      <c r="E53" s="171" t="s">
        <v>72</v>
      </c>
      <c r="F53" s="177">
        <v>20</v>
      </c>
      <c r="G53" s="2">
        <v>0</v>
      </c>
      <c r="H53" s="2">
        <v>0</v>
      </c>
      <c r="I53" s="155">
        <f>ROUND(F53*'Darba algas UZŅEMŠANĀ_jaunais'!$BD$5,0)</f>
        <v>3613269</v>
      </c>
      <c r="J53" s="155">
        <f>G53*'Darba algas UZŅEMŠANĀ_jaunais'!$BB$5</f>
        <v>0</v>
      </c>
      <c r="K53" s="155">
        <f>H53*'Darba algas UZŅEMŠANĀ_jaunais'!$BA$5</f>
        <v>0</v>
      </c>
      <c r="M53" s="139">
        <f>F53*'Darba algas UZŅEMŠANĀ_jaunais'!$BA$26</f>
        <v>2295742.6700000004</v>
      </c>
      <c r="N53" s="139"/>
    </row>
    <row r="54" spans="1:15" x14ac:dyDescent="0.25">
      <c r="A54" s="172"/>
      <c r="B54" s="2"/>
      <c r="C54" s="2"/>
      <c r="D54" s="2"/>
      <c r="E54" s="171" t="s">
        <v>76</v>
      </c>
      <c r="F54" s="177">
        <v>0</v>
      </c>
      <c r="G54" s="2">
        <v>0</v>
      </c>
      <c r="H54" s="2">
        <v>0</v>
      </c>
      <c r="I54" s="155">
        <f>ROUND(F54*'Darba algas UZŅEMŠANĀ_jaunais'!$BD$5,0)</f>
        <v>0</v>
      </c>
      <c r="J54" s="155">
        <f>G54*'Darba algas UZŅEMŠANĀ_jaunais'!$BB$5</f>
        <v>0</v>
      </c>
      <c r="K54" s="155">
        <f>H54*'Darba algas UZŅEMŠANĀ_jaunais'!$BA$5</f>
        <v>0</v>
      </c>
      <c r="M54" s="139">
        <f>F54*'Darba algas UZŅEMŠANĀ_jaunais'!$BA$26</f>
        <v>0</v>
      </c>
      <c r="N54" s="139"/>
    </row>
    <row r="55" spans="1:15" x14ac:dyDescent="0.25">
      <c r="A55" s="172"/>
      <c r="B55" s="2"/>
      <c r="C55" s="2"/>
      <c r="D55" s="2"/>
      <c r="E55" s="171" t="s">
        <v>73</v>
      </c>
      <c r="F55" s="177">
        <v>13</v>
      </c>
      <c r="G55" s="2">
        <v>0</v>
      </c>
      <c r="H55" s="2">
        <v>0</v>
      </c>
      <c r="I55" s="155">
        <f>ROUND(F55*'Darba algas UZŅEMŠANĀ_jaunais'!$BD$6,0)</f>
        <v>1199339</v>
      </c>
      <c r="J55" s="155">
        <f>ROUND(G55*'Darba algas UZŅEMŠANĀ_jaunais'!$BA$6,0)</f>
        <v>0</v>
      </c>
      <c r="K55" s="155">
        <f>ROUND(H55*'Darba algas UZŅEMŠANĀ_jaunais'!$BB$6,0)</f>
        <v>0</v>
      </c>
      <c r="M55" s="139">
        <f>F55*'Darba algas UZŅEMŠANĀ_jaunais'!$BA$33</f>
        <v>762017.42499999993</v>
      </c>
      <c r="N55" s="139"/>
    </row>
    <row r="56" spans="1:15" ht="12" thickBot="1" x14ac:dyDescent="0.3">
      <c r="A56" s="178"/>
      <c r="B56" s="176"/>
      <c r="C56" s="2"/>
      <c r="D56" s="176"/>
      <c r="E56" s="179" t="s">
        <v>77</v>
      </c>
      <c r="F56" s="176">
        <v>4</v>
      </c>
      <c r="G56" s="176">
        <v>0</v>
      </c>
      <c r="H56" s="176">
        <v>0</v>
      </c>
      <c r="I56" s="155">
        <f>ROUND(F56*'Darba algas UZŅEMŠANĀ_jaunais'!$BD$5,0)</f>
        <v>722654</v>
      </c>
      <c r="J56" s="155">
        <f>'Darba algas UZŅEMŠANĀ_jaunais'!$BB$17*G56</f>
        <v>0</v>
      </c>
      <c r="K56" s="155">
        <f>H56*'Darba algas UZŅEMŠANĀ_jaunais'!$BB$23</f>
        <v>0</v>
      </c>
      <c r="M56" s="139">
        <f>F56*'Darba algas UZŅEMŠANĀ_jaunais'!$BA$26</f>
        <v>459148.53400000004</v>
      </c>
      <c r="N56" s="139"/>
    </row>
    <row r="57" spans="1:15" ht="12" thickBot="1" x14ac:dyDescent="0.3">
      <c r="A57" s="172"/>
      <c r="B57" s="2"/>
      <c r="C57" s="180"/>
      <c r="D57" s="173" t="s">
        <v>179</v>
      </c>
      <c r="E57" s="174">
        <f>SUM(F57:H57)</f>
        <v>11526889.714152126</v>
      </c>
      <c r="F57" s="175">
        <f>I40</f>
        <v>10133954</v>
      </c>
      <c r="G57" s="175">
        <f>J40</f>
        <v>1280110.3058249999</v>
      </c>
      <c r="H57" s="175">
        <f>K40</f>
        <v>112825.40832712498</v>
      </c>
      <c r="M57" s="139"/>
      <c r="N57" s="139"/>
    </row>
    <row r="58" spans="1:15" ht="23" x14ac:dyDescent="0.25">
      <c r="A58" s="181" t="s">
        <v>90</v>
      </c>
      <c r="B58" s="2" t="s">
        <v>78</v>
      </c>
      <c r="C58" s="2" t="s">
        <v>12</v>
      </c>
      <c r="D58" s="2" t="s">
        <v>12</v>
      </c>
      <c r="E58" s="169" t="s">
        <v>80</v>
      </c>
      <c r="F58" s="5">
        <f>SUM(F59:F68,F70)</f>
        <v>3</v>
      </c>
      <c r="G58" s="5">
        <f>SUM(G59:G68,G70)</f>
        <v>9</v>
      </c>
      <c r="H58" s="5">
        <f>SUM(H59:H68,H70)</f>
        <v>9</v>
      </c>
      <c r="I58" s="170">
        <f>SUM(I59:I74)</f>
        <v>1907431</v>
      </c>
      <c r="J58" s="170">
        <f t="shared" ref="J58:K58" si="3">SUM(J59:J74)</f>
        <v>1360462.8850312503</v>
      </c>
      <c r="K58" s="170">
        <f t="shared" si="3"/>
        <v>310342.99546379998</v>
      </c>
      <c r="L58" s="153">
        <f>SUM(I58:K58)</f>
        <v>3578236.8804950505</v>
      </c>
      <c r="M58" s="139">
        <f>SUM(M59:M75)</f>
        <v>1185501.2395000001</v>
      </c>
      <c r="N58" s="139">
        <f>F58*'Darba algas UZŅEMŠANĀ_jaunais'!BE15</f>
        <v>41570.639999999999</v>
      </c>
      <c r="O58" s="1">
        <v>1</v>
      </c>
    </row>
    <row r="59" spans="1:15" x14ac:dyDescent="0.25">
      <c r="A59" s="172"/>
      <c r="B59" s="2"/>
      <c r="C59" s="3" t="s">
        <v>26</v>
      </c>
      <c r="D59" s="3" t="s">
        <v>26</v>
      </c>
      <c r="E59" s="2" t="s">
        <v>64</v>
      </c>
      <c r="F59" s="2">
        <v>0</v>
      </c>
      <c r="G59" s="2">
        <v>0</v>
      </c>
      <c r="H59" s="2">
        <v>0</v>
      </c>
      <c r="I59" s="155">
        <f>ROUND(F59*'Darba algas UZŅEMŠANĀ_jaunais'!$BD$3,0)</f>
        <v>0</v>
      </c>
      <c r="J59" s="155">
        <f>G59*'Darba algas UZŅEMŠANĀ_jaunais'!$BB$3</f>
        <v>0</v>
      </c>
      <c r="K59" s="155">
        <f>H59*'Darba algas UZŅEMŠANĀ_jaunais'!$BA$3</f>
        <v>0</v>
      </c>
      <c r="M59" s="139">
        <f>F59*'Darba algas UZŅEMŠANĀ_jaunais'!$BA$19</f>
        <v>0</v>
      </c>
      <c r="N59" s="139"/>
    </row>
    <row r="60" spans="1:15" x14ac:dyDescent="0.25">
      <c r="A60" s="172"/>
      <c r="B60" s="2"/>
      <c r="C60" s="2" t="s">
        <v>14</v>
      </c>
      <c r="D60" s="2" t="s">
        <v>14</v>
      </c>
      <c r="E60" s="2" t="s">
        <v>82</v>
      </c>
      <c r="F60" s="2">
        <v>0</v>
      </c>
      <c r="G60" s="2">
        <v>0</v>
      </c>
      <c r="H60" s="2">
        <v>0</v>
      </c>
      <c r="I60" s="155">
        <f>ROUND(F60*'Darba algas UZŅEMŠANĀ_jaunais'!$BD$3,0)</f>
        <v>0</v>
      </c>
      <c r="J60" s="155">
        <f>G60*'Darba algas UZŅEMŠANĀ_jaunais'!$BB$3</f>
        <v>0</v>
      </c>
      <c r="K60" s="155">
        <f>H60*'Darba algas UZŅEMŠANĀ_jaunais'!$BA$3</f>
        <v>0</v>
      </c>
      <c r="M60" s="139">
        <f>F60*'Darba algas UZŅEMŠANĀ_jaunais'!$BA$19</f>
        <v>0</v>
      </c>
      <c r="N60" s="139"/>
    </row>
    <row r="61" spans="1:15" x14ac:dyDescent="0.25">
      <c r="A61" s="172"/>
      <c r="B61" s="2"/>
      <c r="C61" s="2"/>
      <c r="D61" s="2"/>
      <c r="E61" s="2" t="s">
        <v>65</v>
      </c>
      <c r="F61" s="2">
        <v>0</v>
      </c>
      <c r="G61" s="2">
        <v>0</v>
      </c>
      <c r="H61" s="2">
        <v>0</v>
      </c>
      <c r="I61" s="155">
        <f>ROUND(F61*'Darba algas UZŅEMŠANĀ_jaunais'!$BD$3,0)</f>
        <v>0</v>
      </c>
      <c r="J61" s="155">
        <f>G61*'Darba algas UZŅEMŠANĀ_jaunais'!$BB$3</f>
        <v>0</v>
      </c>
      <c r="K61" s="155">
        <f>H61*'Darba algas UZŅEMŠANĀ_jaunais'!$BA$3</f>
        <v>0</v>
      </c>
      <c r="M61" s="139">
        <f>F61*'Darba algas UZŅEMŠANĀ_jaunais'!$BA$19</f>
        <v>0</v>
      </c>
      <c r="N61" s="139"/>
    </row>
    <row r="62" spans="1:15" x14ac:dyDescent="0.25">
      <c r="A62" s="172"/>
      <c r="B62" s="2"/>
      <c r="C62" s="2"/>
      <c r="D62" s="2"/>
      <c r="E62" s="2" t="s">
        <v>83</v>
      </c>
      <c r="F62" s="2">
        <v>2</v>
      </c>
      <c r="G62" s="2">
        <v>4</v>
      </c>
      <c r="H62" s="2">
        <v>4</v>
      </c>
      <c r="I62" s="155">
        <f>ROUND(F62*'Darba algas UZŅEMŠANĀ_jaunais'!$BD$3,0)</f>
        <v>605338</v>
      </c>
      <c r="J62" s="155">
        <f>G62*'Darba algas UZŅEMŠANĀ_jaunais'!$BB$3</f>
        <v>426703.435275</v>
      </c>
      <c r="K62" s="155">
        <f>H62*'Darba algas UZŅEMŠANĀ_jaunais'!$BA$3</f>
        <v>90260.32666169999</v>
      </c>
      <c r="M62" s="139">
        <f>F62*'Darba algas UZŅEMŠANĀ_jaunais'!$BA$19</f>
        <v>367001.68700000003</v>
      </c>
      <c r="N62" s="139"/>
    </row>
    <row r="63" spans="1:15" x14ac:dyDescent="0.25">
      <c r="A63" s="172"/>
      <c r="B63" s="2"/>
      <c r="C63" s="2"/>
      <c r="D63" s="2"/>
      <c r="E63" s="2" t="s">
        <v>66</v>
      </c>
      <c r="F63" s="2">
        <v>0</v>
      </c>
      <c r="G63" s="2">
        <v>0</v>
      </c>
      <c r="H63" s="2">
        <v>0</v>
      </c>
      <c r="I63" s="155">
        <f>ROUND(F63*'Darba algas UZŅEMŠANĀ_jaunais'!$BD$3,0)</f>
        <v>0</v>
      </c>
      <c r="J63" s="155">
        <f>G63*'Darba algas UZŅEMŠANĀ_jaunais'!$BB$3</f>
        <v>0</v>
      </c>
      <c r="K63" s="155">
        <f>H63*'Darba algas UZŅEMŠANĀ_jaunais'!$BA$3</f>
        <v>0</v>
      </c>
      <c r="M63" s="139">
        <f>F63*'Darba algas UZŅEMŠANĀ_jaunais'!$BA$19</f>
        <v>0</v>
      </c>
      <c r="N63" s="139"/>
    </row>
    <row r="64" spans="1:15" x14ac:dyDescent="0.25">
      <c r="A64" s="172"/>
      <c r="B64" s="2"/>
      <c r="C64" s="2"/>
      <c r="D64" s="2"/>
      <c r="E64" s="2" t="s">
        <v>67</v>
      </c>
      <c r="F64" s="2">
        <v>0</v>
      </c>
      <c r="G64" s="2">
        <v>0</v>
      </c>
      <c r="H64" s="2">
        <v>0</v>
      </c>
      <c r="I64" s="155">
        <f>ROUND(F64*'Darba algas UZŅEMŠANĀ_jaunais'!$BD$3,0)</f>
        <v>0</v>
      </c>
      <c r="J64" s="155">
        <f>G64*'Darba algas UZŅEMŠANĀ_jaunais'!$BB$3</f>
        <v>0</v>
      </c>
      <c r="K64" s="155">
        <f>H64*'Darba algas UZŅEMŠANĀ_jaunais'!$BA$3</f>
        <v>0</v>
      </c>
      <c r="M64" s="139">
        <f>F64*'Darba algas UZŅEMŠANĀ_jaunais'!$BA$19</f>
        <v>0</v>
      </c>
      <c r="N64" s="139"/>
    </row>
    <row r="65" spans="1:14" x14ac:dyDescent="0.25">
      <c r="A65" s="172"/>
      <c r="B65" s="2"/>
      <c r="C65" s="2"/>
      <c r="D65" s="2"/>
      <c r="E65" s="2" t="s">
        <v>74</v>
      </c>
      <c r="F65" s="2">
        <v>0</v>
      </c>
      <c r="G65" s="2">
        <v>0</v>
      </c>
      <c r="H65" s="2">
        <v>0</v>
      </c>
      <c r="I65" s="155">
        <f>ROUND(F65*'Darba algas UZŅEMŠANĀ_jaunais'!$BD$3,0)</f>
        <v>0</v>
      </c>
      <c r="J65" s="155">
        <f>G65*'Darba algas UZŅEMŠANĀ_jaunais'!$BB$3</f>
        <v>0</v>
      </c>
      <c r="K65" s="155">
        <f>H65*'Darba algas UZŅEMŠANĀ_jaunais'!$BA$3</f>
        <v>0</v>
      </c>
      <c r="M65" s="139">
        <f>F65*'Darba algas UZŅEMŠANĀ_jaunais'!$BA$19</f>
        <v>0</v>
      </c>
      <c r="N65" s="139"/>
    </row>
    <row r="66" spans="1:14" x14ac:dyDescent="0.25">
      <c r="A66" s="172"/>
      <c r="B66" s="2"/>
      <c r="C66" s="2"/>
      <c r="D66" s="2"/>
      <c r="E66" s="2" t="s">
        <v>75</v>
      </c>
      <c r="F66" s="2">
        <v>0</v>
      </c>
      <c r="G66" s="2">
        <v>2</v>
      </c>
      <c r="H66" s="2">
        <v>2</v>
      </c>
      <c r="I66" s="155">
        <f>ROUND(F66*'Darba algas UZŅEMŠANĀ_jaunais'!$BD$3,0)</f>
        <v>0</v>
      </c>
      <c r="J66" s="155">
        <f>G66*'Darba algas UZŅEMŠANĀ_jaunais'!$BB$3</f>
        <v>213351.7176375</v>
      </c>
      <c r="K66" s="155">
        <f>H66*'Darba algas UZŅEMŠANĀ_jaunais'!$BA$3</f>
        <v>45130.163330849995</v>
      </c>
      <c r="M66" s="139">
        <f>F66*'Darba algas UZŅEMŠANĀ_jaunais'!$BA$19</f>
        <v>0</v>
      </c>
      <c r="N66" s="139"/>
    </row>
    <row r="67" spans="1:14" x14ac:dyDescent="0.25">
      <c r="A67" s="172"/>
      <c r="B67" s="2"/>
      <c r="C67" s="2"/>
      <c r="D67" s="2"/>
      <c r="E67" s="2" t="s">
        <v>69</v>
      </c>
      <c r="F67" s="2">
        <v>1</v>
      </c>
      <c r="G67" s="2">
        <v>2</v>
      </c>
      <c r="H67" s="2">
        <v>2</v>
      </c>
      <c r="I67" s="155">
        <f>ROUND(F67*'Darba algas UZŅEMŠANĀ_jaunais'!$BD$3,0)</f>
        <v>302669</v>
      </c>
      <c r="J67" s="155">
        <f>G67*'Darba algas UZŅEMŠANĀ_jaunais'!$BB$3</f>
        <v>213351.7176375</v>
      </c>
      <c r="K67" s="155">
        <f>H67*'Darba algas UZŅEMŠANĀ_jaunais'!$BA$3</f>
        <v>45130.163330849995</v>
      </c>
      <c r="M67" s="139">
        <f>F67*'Darba algas UZŅEMŠANĀ_jaunais'!$BA$19</f>
        <v>183500.84350000002</v>
      </c>
      <c r="N67" s="139"/>
    </row>
    <row r="68" spans="1:14" x14ac:dyDescent="0.25">
      <c r="A68" s="172"/>
      <c r="B68" s="2"/>
      <c r="C68" s="2"/>
      <c r="D68" s="2"/>
      <c r="E68" s="2" t="s">
        <v>184</v>
      </c>
      <c r="F68" s="2">
        <v>0</v>
      </c>
      <c r="G68" s="2">
        <v>1</v>
      </c>
      <c r="H68" s="2">
        <v>1</v>
      </c>
      <c r="I68" s="155">
        <f>ROUND(F68*'Darba algas UZŅEMŠANĀ_jaunais'!BD4,0)</f>
        <v>0</v>
      </c>
      <c r="J68" s="155">
        <f>G68*'Darba algas UZŅEMŠANĀ_jaunais'!$BB$3</f>
        <v>106675.85881875</v>
      </c>
      <c r="K68" s="155">
        <f>H68*'Darba algas UZŅEMŠANĀ_jaunais'!$BA$3</f>
        <v>22565.081665424997</v>
      </c>
      <c r="M68" s="139">
        <f>F68*'Darba algas UZŅEMŠANĀ_jaunais'!$BA$20</f>
        <v>0</v>
      </c>
      <c r="N68" s="139"/>
    </row>
    <row r="69" spans="1:14" x14ac:dyDescent="0.25">
      <c r="A69" s="172"/>
      <c r="B69" s="2"/>
      <c r="C69" s="2"/>
      <c r="D69" s="2"/>
      <c r="E69" s="2" t="s">
        <v>70</v>
      </c>
      <c r="F69" s="2">
        <v>0</v>
      </c>
      <c r="G69" s="2">
        <v>1</v>
      </c>
      <c r="H69" s="2">
        <v>1</v>
      </c>
      <c r="I69" s="155">
        <f>ROUND(F69*'Darba algas UZŅEMŠANĀ_jaunais'!$BD$5,0)</f>
        <v>0</v>
      </c>
      <c r="J69" s="155">
        <f>G69*'Darba algas UZŅEMŠANĀ_jaunais'!$BB$5</f>
        <v>66730.025943750006</v>
      </c>
      <c r="K69" s="155">
        <f>H69*'Darba algas UZŅEMŠANĀ_jaunais'!$BA$5</f>
        <v>14115.363134925003</v>
      </c>
      <c r="M69" s="139">
        <f>F69*'Darba algas UZŅEMŠANĀ_jaunais'!$BA$26</f>
        <v>0</v>
      </c>
      <c r="N69" s="139"/>
    </row>
    <row r="70" spans="1:14" x14ac:dyDescent="0.25">
      <c r="A70" s="172"/>
      <c r="B70" s="2"/>
      <c r="C70" s="2"/>
      <c r="D70" s="2"/>
      <c r="E70" s="2" t="s">
        <v>87</v>
      </c>
      <c r="F70" s="2">
        <v>0</v>
      </c>
      <c r="G70" s="2">
        <v>0</v>
      </c>
      <c r="H70" s="2">
        <v>0</v>
      </c>
      <c r="I70" s="155">
        <f>ROUND(F70*'Darba algas UZŅEMŠANĀ_jaunais'!$BD$3,0)</f>
        <v>0</v>
      </c>
      <c r="J70" s="155">
        <f>G70*'Darba algas UZŅEMŠANĀ_jaunais'!$BB$3</f>
        <v>0</v>
      </c>
      <c r="K70" s="155">
        <f>H69*'Darba algas UZŅEMŠANĀ_jaunais'!$BA$3</f>
        <v>22565.081665424997</v>
      </c>
      <c r="M70" s="139">
        <f>F70*'Darba algas UZŅEMŠANĀ_jaunais'!$BA$19</f>
        <v>0</v>
      </c>
      <c r="N70" s="139"/>
    </row>
    <row r="71" spans="1:14" x14ac:dyDescent="0.25">
      <c r="A71" s="172"/>
      <c r="B71" s="2"/>
      <c r="C71" s="2"/>
      <c r="D71" s="2"/>
      <c r="E71" s="2" t="s">
        <v>72</v>
      </c>
      <c r="F71" s="2">
        <v>1</v>
      </c>
      <c r="G71" s="2">
        <v>2</v>
      </c>
      <c r="H71" s="2">
        <v>2</v>
      </c>
      <c r="I71" s="155">
        <f>ROUND(F71*'Darba algas UZŅEMŠANĀ_jaunais'!$BD$5,0)</f>
        <v>180663</v>
      </c>
      <c r="J71" s="155">
        <f>G71*'Darba algas UZŅEMŠANĀ_jaunais'!$BB$5</f>
        <v>133460.05188750001</v>
      </c>
      <c r="K71" s="155">
        <f>H71*'Darba algas UZŅEMŠANĀ_jaunais'!$BA$5</f>
        <v>28230.726269850005</v>
      </c>
      <c r="M71" s="139">
        <f>F71*'Darba algas UZŅEMŠANĀ_jaunais'!$BA$26</f>
        <v>114787.13350000001</v>
      </c>
      <c r="N71" s="139"/>
    </row>
    <row r="72" spans="1:14" x14ac:dyDescent="0.25">
      <c r="A72" s="172"/>
      <c r="B72" s="2"/>
      <c r="C72" s="2"/>
      <c r="D72" s="2"/>
      <c r="E72" s="2" t="s">
        <v>76</v>
      </c>
      <c r="F72" s="2">
        <v>3</v>
      </c>
      <c r="G72" s="2">
        <v>3</v>
      </c>
      <c r="H72" s="2">
        <v>3</v>
      </c>
      <c r="I72" s="155">
        <f>ROUND(F72*'Darba algas UZŅEMŠANĀ_jaunais'!$BD$5,0)</f>
        <v>541990</v>
      </c>
      <c r="J72" s="155">
        <f>G72*'Darba algas UZŅEMŠANĀ_jaunais'!$BB$5</f>
        <v>200190.07783125003</v>
      </c>
      <c r="K72" s="155">
        <f>H72*'Darba algas UZŅEMŠANĀ_jaunais'!$BA$5</f>
        <v>42346.089404775004</v>
      </c>
      <c r="M72" s="139">
        <f>F72*'Darba algas UZŅEMŠANĀ_jaunais'!$BA$26</f>
        <v>344361.40050000005</v>
      </c>
      <c r="N72" s="139"/>
    </row>
    <row r="73" spans="1:14" x14ac:dyDescent="0.25">
      <c r="A73" s="172"/>
      <c r="B73" s="2"/>
      <c r="C73" s="2"/>
      <c r="D73" s="2"/>
      <c r="E73" s="2" t="s">
        <v>73</v>
      </c>
      <c r="F73" s="2">
        <v>3</v>
      </c>
      <c r="G73" s="2">
        <v>0</v>
      </c>
      <c r="H73" s="2">
        <v>0</v>
      </c>
      <c r="I73" s="155">
        <f>ROUND(F73*'Darba algas UZŅEMŠANĀ_jaunais'!$BD$6,0)</f>
        <v>276771</v>
      </c>
      <c r="J73" s="155">
        <f>ROUND(G73*'Darba algas UZŅEMŠANĀ_jaunais'!$BA$6,0)</f>
        <v>0</v>
      </c>
      <c r="K73" s="155">
        <f>ROUND(H73*'Darba algas UZŅEMŠANĀ_jaunais'!$BB$6,0)</f>
        <v>0</v>
      </c>
      <c r="M73" s="139">
        <f>F73*'Darba algas UZŅEMŠANĀ_jaunais'!$BA$33</f>
        <v>175850.17499999999</v>
      </c>
      <c r="N73" s="139"/>
    </row>
    <row r="74" spans="1:14" ht="12" thickBot="1" x14ac:dyDescent="0.3">
      <c r="A74" s="172"/>
      <c r="B74" s="2"/>
      <c r="C74" s="2"/>
      <c r="D74" s="2"/>
      <c r="E74" s="176" t="s">
        <v>77</v>
      </c>
      <c r="F74" s="176">
        <v>0</v>
      </c>
      <c r="G74" s="176">
        <v>0</v>
      </c>
      <c r="H74" s="176">
        <v>0</v>
      </c>
      <c r="I74" s="155">
        <f>ROUND(F74*'Darba algas UZŅEMŠANĀ_jaunais'!$BD$5,0)</f>
        <v>0</v>
      </c>
      <c r="J74" s="155">
        <f>'Darba algas UZŅEMŠANĀ_jaunais'!$BB$17*G74</f>
        <v>0</v>
      </c>
      <c r="K74" s="155">
        <f>H74*'Darba algas UZŅEMŠANĀ_jaunais'!$BB$23</f>
        <v>0</v>
      </c>
      <c r="M74" s="139">
        <f>F74*'Darba algas UZŅEMŠANĀ_jaunais'!$BA$26</f>
        <v>0</v>
      </c>
      <c r="N74" s="139"/>
    </row>
    <row r="75" spans="1:14" ht="12" thickBot="1" x14ac:dyDescent="0.3">
      <c r="A75" s="172"/>
      <c r="B75" s="2"/>
      <c r="C75" s="2"/>
      <c r="D75" s="173" t="s">
        <v>179</v>
      </c>
      <c r="E75" s="174">
        <f>SUM(F75:H75)</f>
        <v>3578236.8804950505</v>
      </c>
      <c r="F75" s="175">
        <f>I58</f>
        <v>1907431</v>
      </c>
      <c r="G75" s="175">
        <f>J58</f>
        <v>1360462.8850312503</v>
      </c>
      <c r="H75" s="175">
        <f>K58</f>
        <v>310342.99546379998</v>
      </c>
      <c r="M75" s="139"/>
      <c r="N75" s="139"/>
    </row>
    <row r="76" spans="1:14" ht="23" x14ac:dyDescent="0.25">
      <c r="A76" s="182" t="s">
        <v>90</v>
      </c>
      <c r="B76" s="5" t="s">
        <v>79</v>
      </c>
      <c r="C76" s="5" t="s">
        <v>13</v>
      </c>
      <c r="D76" s="5" t="s">
        <v>13</v>
      </c>
      <c r="E76" s="169" t="s">
        <v>80</v>
      </c>
      <c r="F76" s="5">
        <f>SUM(F77:F86,F88)</f>
        <v>8</v>
      </c>
      <c r="G76" s="183">
        <f>SUM(G77:G86,G88)</f>
        <v>4</v>
      </c>
      <c r="H76" s="183">
        <f>SUM(H77:H86,H88)</f>
        <v>4</v>
      </c>
      <c r="I76" s="170">
        <f>SUM(I77:I92)</f>
        <v>6057723</v>
      </c>
      <c r="J76" s="170">
        <f t="shared" ref="J76:K76" si="4">SUM(J77:J92)</f>
        <v>426703.435275</v>
      </c>
      <c r="K76" s="170">
        <f t="shared" si="4"/>
        <v>90260.32666169999</v>
      </c>
      <c r="L76" s="153">
        <f>SUM(I76:K76)</f>
        <v>6574686.7619367</v>
      </c>
      <c r="M76" s="139">
        <f>SUM(M77:M92)</f>
        <v>3778427.3170000007</v>
      </c>
      <c r="N76" s="139">
        <f>F76*'Darba algas UZŅEMŠANĀ_jaunais'!BE15</f>
        <v>110855.03999999999</v>
      </c>
    </row>
    <row r="77" spans="1:14" x14ac:dyDescent="0.25">
      <c r="A77" s="172"/>
      <c r="B77" s="2"/>
      <c r="C77" s="2" t="s">
        <v>16</v>
      </c>
      <c r="D77" s="2" t="s">
        <v>16</v>
      </c>
      <c r="E77" s="2" t="s">
        <v>64</v>
      </c>
      <c r="F77" s="2">
        <v>0</v>
      </c>
      <c r="G77" s="2">
        <v>0</v>
      </c>
      <c r="H77" s="2">
        <v>0</v>
      </c>
      <c r="I77" s="155">
        <f>ROUND(F77*'Darba algas UZŅEMŠANĀ_jaunais'!$BD$3,0)</f>
        <v>0</v>
      </c>
      <c r="J77" s="155">
        <f>G77*'Darba algas UZŅEMŠANĀ_jaunais'!$BB$3</f>
        <v>0</v>
      </c>
      <c r="K77" s="155">
        <f>H77*'Darba algas UZŅEMŠANĀ_jaunais'!$BA$3</f>
        <v>0</v>
      </c>
      <c r="M77" s="139">
        <f>F77*'Darba algas UZŅEMŠANĀ_jaunais'!$BA$19</f>
        <v>0</v>
      </c>
      <c r="N77" s="139"/>
    </row>
    <row r="78" spans="1:14" x14ac:dyDescent="0.25">
      <c r="A78" s="172"/>
      <c r="B78" s="2"/>
      <c r="C78" s="2"/>
      <c r="D78" s="2"/>
      <c r="E78" s="2" t="s">
        <v>82</v>
      </c>
      <c r="F78" s="2">
        <v>0</v>
      </c>
      <c r="G78" s="2">
        <v>0</v>
      </c>
      <c r="H78" s="2">
        <v>0</v>
      </c>
      <c r="I78" s="155">
        <f>ROUND(F78*'Darba algas UZŅEMŠANĀ_jaunais'!$BD$3,0)</f>
        <v>0</v>
      </c>
      <c r="J78" s="155">
        <f>G78*'Darba algas UZŅEMŠANĀ_jaunais'!$BB$3</f>
        <v>0</v>
      </c>
      <c r="K78" s="155">
        <f>H78*'Darba algas UZŅEMŠANĀ_jaunais'!$BA$3</f>
        <v>0</v>
      </c>
      <c r="M78" s="139">
        <f>F78*'Darba algas UZŅEMŠANĀ_jaunais'!$BA$19</f>
        <v>0</v>
      </c>
      <c r="N78" s="139"/>
    </row>
    <row r="79" spans="1:14" x14ac:dyDescent="0.25">
      <c r="A79" s="172"/>
      <c r="B79" s="2"/>
      <c r="C79" s="2"/>
      <c r="D79" s="2"/>
      <c r="E79" s="2" t="s">
        <v>65</v>
      </c>
      <c r="F79" s="2">
        <v>1</v>
      </c>
      <c r="G79" s="2">
        <v>2</v>
      </c>
      <c r="H79" s="2">
        <v>2</v>
      </c>
      <c r="I79" s="155">
        <f>ROUND(F79*'Darba algas UZŅEMŠANĀ_jaunais'!$BD$3,0)</f>
        <v>302669</v>
      </c>
      <c r="J79" s="155">
        <f>G79*'Darba algas UZŅEMŠANĀ_jaunais'!$BB$3</f>
        <v>213351.7176375</v>
      </c>
      <c r="K79" s="155">
        <f>H79*'Darba algas UZŅEMŠANĀ_jaunais'!$BA$3</f>
        <v>45130.163330849995</v>
      </c>
      <c r="M79" s="139">
        <f>F79*'Darba algas UZŅEMŠANĀ_jaunais'!$BA$19</f>
        <v>183500.84350000002</v>
      </c>
      <c r="N79" s="139"/>
    </row>
    <row r="80" spans="1:14" x14ac:dyDescent="0.25">
      <c r="A80" s="172"/>
      <c r="B80" s="2"/>
      <c r="C80" s="2"/>
      <c r="D80" s="2"/>
      <c r="E80" s="2" t="s">
        <v>83</v>
      </c>
      <c r="F80" s="2">
        <v>0</v>
      </c>
      <c r="G80" s="2">
        <v>0</v>
      </c>
      <c r="H80" s="2">
        <v>0</v>
      </c>
      <c r="I80" s="155">
        <f>ROUND(F80*'Darba algas UZŅEMŠANĀ_jaunais'!$BD$3,0)</f>
        <v>0</v>
      </c>
      <c r="J80" s="155">
        <f>G80*'Darba algas UZŅEMŠANĀ_jaunais'!$BB$3</f>
        <v>0</v>
      </c>
      <c r="K80" s="155">
        <f>H80*'Darba algas UZŅEMŠANĀ_jaunais'!$BA$3</f>
        <v>0</v>
      </c>
      <c r="M80" s="139">
        <f>F80*'Darba algas UZŅEMŠANĀ_jaunais'!$BA$19</f>
        <v>0</v>
      </c>
      <c r="N80" s="139"/>
    </row>
    <row r="81" spans="1:14" x14ac:dyDescent="0.25">
      <c r="A81" s="172"/>
      <c r="B81" s="2"/>
      <c r="C81" s="2"/>
      <c r="D81" s="2"/>
      <c r="E81" s="2" t="s">
        <v>66</v>
      </c>
      <c r="F81" s="2">
        <v>2</v>
      </c>
      <c r="G81" s="2">
        <v>2</v>
      </c>
      <c r="H81" s="2">
        <v>2</v>
      </c>
      <c r="I81" s="155">
        <f>ROUND(F81*'Darba algas UZŅEMŠANĀ_jaunais'!$BD$3,0)</f>
        <v>605338</v>
      </c>
      <c r="J81" s="155">
        <f>G81*'Darba algas UZŅEMŠANĀ_jaunais'!$BB$3</f>
        <v>213351.7176375</v>
      </c>
      <c r="K81" s="155">
        <f>H81*'Darba algas UZŅEMŠANĀ_jaunais'!$BA$3</f>
        <v>45130.163330849995</v>
      </c>
      <c r="M81" s="139">
        <f>F81*'Darba algas UZŅEMŠANĀ_jaunais'!$BA$19</f>
        <v>367001.68700000003</v>
      </c>
      <c r="N81" s="139"/>
    </row>
    <row r="82" spans="1:14" x14ac:dyDescent="0.25">
      <c r="A82" s="172"/>
      <c r="B82" s="2"/>
      <c r="C82" s="2"/>
      <c r="D82" s="2"/>
      <c r="E82" s="2" t="s">
        <v>67</v>
      </c>
      <c r="F82" s="2">
        <v>0</v>
      </c>
      <c r="G82" s="2">
        <v>0</v>
      </c>
      <c r="H82" s="2">
        <v>0</v>
      </c>
      <c r="I82" s="155">
        <f>ROUND(F82*'Darba algas UZŅEMŠANĀ_jaunais'!$BD$3,0)</f>
        <v>0</v>
      </c>
      <c r="J82" s="155">
        <f>G82*'Darba algas UZŅEMŠANĀ_jaunais'!$BB$3</f>
        <v>0</v>
      </c>
      <c r="K82" s="155">
        <f>H82*'Darba algas UZŅEMŠANĀ_jaunais'!$BA$3</f>
        <v>0</v>
      </c>
      <c r="M82" s="139">
        <f>F82*'Darba algas UZŅEMŠANĀ_jaunais'!$BA$19</f>
        <v>0</v>
      </c>
      <c r="N82" s="139"/>
    </row>
    <row r="83" spans="1:14" x14ac:dyDescent="0.25">
      <c r="A83" s="172"/>
      <c r="B83" s="2"/>
      <c r="C83" s="2"/>
      <c r="D83" s="2"/>
      <c r="E83" s="2" t="s">
        <v>74</v>
      </c>
      <c r="F83" s="2">
        <v>0</v>
      </c>
      <c r="G83" s="2">
        <v>0</v>
      </c>
      <c r="H83" s="2">
        <v>0</v>
      </c>
      <c r="I83" s="155">
        <f>ROUND(F83*'Darba algas UZŅEMŠANĀ_jaunais'!$BD$3,0)</f>
        <v>0</v>
      </c>
      <c r="J83" s="155">
        <f>G83*'Darba algas UZŅEMŠANĀ_jaunais'!$BB$3</f>
        <v>0</v>
      </c>
      <c r="K83" s="155">
        <f>H83*'Darba algas UZŅEMŠANĀ_jaunais'!$BA$3</f>
        <v>0</v>
      </c>
      <c r="M83" s="139">
        <f>F83*'Darba algas UZŅEMŠANĀ_jaunais'!$BA$19</f>
        <v>0</v>
      </c>
      <c r="N83" s="139"/>
    </row>
    <row r="84" spans="1:14" x14ac:dyDescent="0.25">
      <c r="A84" s="172"/>
      <c r="B84" s="2"/>
      <c r="C84" s="2"/>
      <c r="D84" s="2"/>
      <c r="E84" s="2" t="s">
        <v>75</v>
      </c>
      <c r="F84" s="2">
        <v>0</v>
      </c>
      <c r="G84" s="2">
        <v>0</v>
      </c>
      <c r="H84" s="2">
        <v>0</v>
      </c>
      <c r="I84" s="155">
        <f>ROUND(F84*'Darba algas UZŅEMŠANĀ_jaunais'!$BD$3,0)</f>
        <v>0</v>
      </c>
      <c r="J84" s="155">
        <f>G84*'Darba algas UZŅEMŠANĀ_jaunais'!$BB$3</f>
        <v>0</v>
      </c>
      <c r="K84" s="155">
        <f>H84*'Darba algas UZŅEMŠANĀ_jaunais'!$BA$3</f>
        <v>0</v>
      </c>
      <c r="M84" s="139">
        <f>F84*'Darba algas UZŅEMŠANĀ_jaunais'!$BA$19</f>
        <v>0</v>
      </c>
      <c r="N84" s="139"/>
    </row>
    <row r="85" spans="1:14" x14ac:dyDescent="0.25">
      <c r="A85" s="172"/>
      <c r="B85" s="2"/>
      <c r="C85" s="2"/>
      <c r="D85" s="2"/>
      <c r="E85" s="2" t="s">
        <v>69</v>
      </c>
      <c r="F85" s="2">
        <v>1</v>
      </c>
      <c r="G85" s="2">
        <v>0</v>
      </c>
      <c r="H85" s="2">
        <v>0</v>
      </c>
      <c r="I85" s="155">
        <f>ROUND(F85*'Darba algas UZŅEMŠANĀ_jaunais'!$BD$3,0)</f>
        <v>302669</v>
      </c>
      <c r="J85" s="155">
        <f>G85*'Darba algas UZŅEMŠANĀ_jaunais'!$BB$3</f>
        <v>0</v>
      </c>
      <c r="K85" s="155">
        <f>H85*'Darba algas UZŅEMŠANĀ_jaunais'!$BA$3</f>
        <v>0</v>
      </c>
      <c r="M85" s="139">
        <f>F85*'Darba algas UZŅEMŠANĀ_jaunais'!$BA$19</f>
        <v>183500.84350000002</v>
      </c>
      <c r="N85" s="139"/>
    </row>
    <row r="86" spans="1:14" x14ac:dyDescent="0.25">
      <c r="A86" s="172"/>
      <c r="B86" s="2"/>
      <c r="C86" s="2"/>
      <c r="D86" s="2"/>
      <c r="E86" s="2" t="s">
        <v>68</v>
      </c>
      <c r="F86" s="2">
        <v>1</v>
      </c>
      <c r="G86" s="2">
        <v>0</v>
      </c>
      <c r="H86" s="2">
        <v>0</v>
      </c>
      <c r="I86" s="155">
        <f>ROUND(F86*'Darba algas UZŅEMŠANĀ_jaunais'!$BD$3,0)</f>
        <v>302669</v>
      </c>
      <c r="J86" s="155">
        <f>G86*'Darba algas UZŅEMŠANĀ_jaunais'!$BB$3</f>
        <v>0</v>
      </c>
      <c r="K86" s="155">
        <f>H86*'Darba algas UZŅEMŠANĀ_jaunais'!$BA$3</f>
        <v>0</v>
      </c>
      <c r="M86" s="139">
        <f>F86*'Darba algas UZŅEMŠANĀ_jaunais'!$BA$19</f>
        <v>183500.84350000002</v>
      </c>
      <c r="N86" s="139"/>
    </row>
    <row r="87" spans="1:14" x14ac:dyDescent="0.25">
      <c r="A87" s="172"/>
      <c r="B87" s="2"/>
      <c r="C87" s="2"/>
      <c r="D87" s="2"/>
      <c r="E87" s="2" t="s">
        <v>70</v>
      </c>
      <c r="F87" s="2">
        <v>2</v>
      </c>
      <c r="G87" s="2">
        <v>0</v>
      </c>
      <c r="H87" s="2">
        <v>0</v>
      </c>
      <c r="I87" s="155">
        <f>ROUND(F87*'Darba algas UZŅEMŠANĀ_jaunais'!$BD$5,0)</f>
        <v>361327</v>
      </c>
      <c r="J87" s="155">
        <f>G87*'Darba algas UZŅEMŠANĀ_jaunais'!$BB$5</f>
        <v>0</v>
      </c>
      <c r="K87" s="155">
        <f>H87*'Darba algas UZŅEMŠANĀ_jaunais'!$BA$5</f>
        <v>0</v>
      </c>
      <c r="M87" s="139">
        <f>F87*'Darba algas UZŅEMŠANĀ_jaunais'!$BA$26</f>
        <v>229574.26700000002</v>
      </c>
      <c r="N87" s="139"/>
    </row>
    <row r="88" spans="1:14" x14ac:dyDescent="0.25">
      <c r="A88" s="172"/>
      <c r="B88" s="2"/>
      <c r="C88" s="2"/>
      <c r="D88" s="2"/>
      <c r="E88" s="2" t="s">
        <v>87</v>
      </c>
      <c r="F88" s="2">
        <v>3</v>
      </c>
      <c r="G88" s="2">
        <v>0</v>
      </c>
      <c r="H88" s="2">
        <v>0</v>
      </c>
      <c r="I88" s="155">
        <f>ROUND(F88*'Darba algas UZŅEMŠANĀ_jaunais'!$BD$3,0)</f>
        <v>908007</v>
      </c>
      <c r="J88" s="155">
        <f>G88*'Darba algas UZŅEMŠANĀ_jaunais'!$BB$3</f>
        <v>0</v>
      </c>
      <c r="K88" s="155">
        <f>H87*'Darba algas UZŅEMŠANĀ_jaunais'!$BA$3</f>
        <v>0</v>
      </c>
      <c r="M88" s="139">
        <f>F88*'Darba algas UZŅEMŠANĀ_jaunais'!$BA$19</f>
        <v>550502.53050000011</v>
      </c>
      <c r="N88" s="139"/>
    </row>
    <row r="89" spans="1:14" x14ac:dyDescent="0.25">
      <c r="A89" s="172"/>
      <c r="B89" s="2"/>
      <c r="C89" s="2"/>
      <c r="D89" s="2"/>
      <c r="E89" s="2" t="s">
        <v>72</v>
      </c>
      <c r="F89" s="2">
        <v>12</v>
      </c>
      <c r="G89" s="2">
        <v>0</v>
      </c>
      <c r="H89" s="2">
        <v>0</v>
      </c>
      <c r="I89" s="155">
        <f>ROUND(F89*'Darba algas UZŅEMŠANĀ_jaunais'!$BD$5,0)</f>
        <v>2167962</v>
      </c>
      <c r="J89" s="155">
        <f>G89*'Darba algas UZŅEMŠANĀ_jaunais'!$BB$5</f>
        <v>0</v>
      </c>
      <c r="K89" s="155">
        <f>H89*'Darba algas UZŅEMŠANĀ_jaunais'!$BA$5</f>
        <v>0</v>
      </c>
      <c r="M89" s="139">
        <f>F89*'Darba algas UZŅEMŠANĀ_jaunais'!$BA$26</f>
        <v>1377445.6020000002</v>
      </c>
      <c r="N89" s="139"/>
    </row>
    <row r="90" spans="1:14" x14ac:dyDescent="0.25">
      <c r="A90" s="172"/>
      <c r="B90" s="2"/>
      <c r="C90" s="2"/>
      <c r="D90" s="2"/>
      <c r="E90" s="2" t="s">
        <v>76</v>
      </c>
      <c r="F90" s="2">
        <v>0</v>
      </c>
      <c r="G90" s="2">
        <v>0</v>
      </c>
      <c r="H90" s="2">
        <v>0</v>
      </c>
      <c r="I90" s="155">
        <f>ROUND(F90*'Darba algas UZŅEMŠANĀ_jaunais'!$BD$5,0)</f>
        <v>0</v>
      </c>
      <c r="J90" s="155">
        <f>G90*'Darba algas UZŅEMŠANĀ_jaunais'!$BB$5</f>
        <v>0</v>
      </c>
      <c r="K90" s="155">
        <f>H90*'Darba algas UZŅEMŠANĀ_jaunais'!$BA$5</f>
        <v>0</v>
      </c>
      <c r="M90" s="139">
        <f>F90*'Darba algas UZŅEMŠANĀ_jaunais'!$BA$26</f>
        <v>0</v>
      </c>
      <c r="N90" s="139"/>
    </row>
    <row r="91" spans="1:14" x14ac:dyDescent="0.25">
      <c r="A91" s="172"/>
      <c r="B91" s="2"/>
      <c r="C91" s="2"/>
      <c r="D91" s="2"/>
      <c r="E91" s="2" t="s">
        <v>73</v>
      </c>
      <c r="F91" s="2">
        <v>12</v>
      </c>
      <c r="G91" s="2">
        <v>0</v>
      </c>
      <c r="H91" s="2">
        <v>0</v>
      </c>
      <c r="I91" s="155">
        <f>ROUND(F91*'Darba algas UZŅEMŠANĀ_jaunais'!$BD$6,0)</f>
        <v>1107082</v>
      </c>
      <c r="J91" s="155">
        <f>ROUND(G91*'Darba algas UZŅEMŠANĀ_jaunais'!$BA$6,0)</f>
        <v>0</v>
      </c>
      <c r="K91" s="155">
        <f>ROUND(H91*'Darba algas UZŅEMŠANĀ_jaunais'!$BB$6,0)</f>
        <v>0</v>
      </c>
      <c r="M91" s="139">
        <f>F91*'Darba algas UZŅEMŠANĀ_jaunais'!$BA$33</f>
        <v>703400.7</v>
      </c>
      <c r="N91" s="139"/>
    </row>
    <row r="92" spans="1:14" ht="12" thickBot="1" x14ac:dyDescent="0.3">
      <c r="A92" s="172"/>
      <c r="B92" s="2"/>
      <c r="C92" s="2"/>
      <c r="D92" s="2"/>
      <c r="E92" s="176" t="s">
        <v>77</v>
      </c>
      <c r="F92" s="176">
        <v>0</v>
      </c>
      <c r="G92" s="176">
        <v>0</v>
      </c>
      <c r="H92" s="176">
        <v>0</v>
      </c>
      <c r="I92" s="155">
        <f>ROUND(F92*'Darba algas UZŅEMŠANĀ_jaunais'!$BD$5,0)</f>
        <v>0</v>
      </c>
      <c r="J92" s="155">
        <f>'Darba algas UZŅEMŠANĀ_jaunais'!$BB$17*G92</f>
        <v>0</v>
      </c>
      <c r="K92" s="155">
        <f>H92*'Darba algas UZŅEMŠANĀ_jaunais'!$BB$23</f>
        <v>0</v>
      </c>
      <c r="M92" s="139">
        <f>F92*'Darba algas UZŅEMŠANĀ_jaunais'!$BA$26</f>
        <v>0</v>
      </c>
      <c r="N92" s="139"/>
    </row>
    <row r="93" spans="1:14" ht="12" thickBot="1" x14ac:dyDescent="0.3">
      <c r="A93" s="178"/>
      <c r="B93" s="176"/>
      <c r="C93" s="176"/>
      <c r="D93" s="173" t="s">
        <v>179</v>
      </c>
      <c r="E93" s="174">
        <f>SUM(F93:H93)</f>
        <v>6574686.7619367</v>
      </c>
      <c r="F93" s="175">
        <f>I76</f>
        <v>6057723</v>
      </c>
      <c r="G93" s="175">
        <f>J76</f>
        <v>426703.435275</v>
      </c>
      <c r="H93" s="175">
        <f>K76</f>
        <v>90260.32666169999</v>
      </c>
      <c r="M93" s="139"/>
      <c r="N93" s="139"/>
    </row>
    <row r="94" spans="1:14" x14ac:dyDescent="0.25">
      <c r="A94" s="184" t="s">
        <v>91</v>
      </c>
      <c r="B94" s="5" t="s">
        <v>23</v>
      </c>
      <c r="C94" s="5" t="s">
        <v>7</v>
      </c>
      <c r="D94" s="5" t="s">
        <v>18</v>
      </c>
      <c r="E94" s="169" t="s">
        <v>80</v>
      </c>
      <c r="F94" s="5">
        <f>SUM(F95:F104,F106)</f>
        <v>6</v>
      </c>
      <c r="G94" s="5">
        <f>SUM(G95:G104,G106)</f>
        <v>1</v>
      </c>
      <c r="H94" s="5">
        <f>SUM(H95:H104,H106)</f>
        <v>1</v>
      </c>
      <c r="I94" s="170">
        <f>SUM(I95:I110)</f>
        <v>2757950.3888465008</v>
      </c>
      <c r="J94" s="170">
        <f t="shared" ref="J94:K94" si="5">SUM(J95:J110)</f>
        <v>82058.352937500007</v>
      </c>
      <c r="K94" s="170">
        <f t="shared" si="5"/>
        <v>17357.755127250002</v>
      </c>
      <c r="L94" s="153">
        <f>SUM(I94:K94)</f>
        <v>2857366.496911251</v>
      </c>
      <c r="M94" s="139">
        <f>SUM(M95:M110)</f>
        <v>1699478.4350000003</v>
      </c>
      <c r="N94" s="139">
        <f>F94*'Darba algas UZŅEMŠANĀ_jaunais'!BE15</f>
        <v>83141.279999999999</v>
      </c>
    </row>
    <row r="95" spans="1:14" x14ac:dyDescent="0.25">
      <c r="A95" s="2"/>
      <c r="B95" s="2"/>
      <c r="C95" s="2" t="s">
        <v>9</v>
      </c>
      <c r="D95" s="2" t="s">
        <v>10</v>
      </c>
      <c r="E95" s="2" t="s">
        <v>64</v>
      </c>
      <c r="F95" s="2">
        <v>1</v>
      </c>
      <c r="G95" s="2">
        <v>0</v>
      </c>
      <c r="H95" s="2">
        <v>0</v>
      </c>
      <c r="I95" s="155">
        <f>F95*'Darba algas UZŅEMŠANĀ_jaunais'!$BD$8</f>
        <v>236019.93968050004</v>
      </c>
      <c r="J95" s="155">
        <f>G95*'Darba algas UZŅEMŠANĀ_jaunais'!$BB$8</f>
        <v>0</v>
      </c>
      <c r="K95" s="155">
        <f>H95*'Darba algas UZŅEMŠANĀ_jaunais'!$BA$8</f>
        <v>0</v>
      </c>
      <c r="M95" s="139">
        <f>F95*'Darba algas UZŅEMŠANĀ_jaunais'!$BA$41</f>
        <v>141154.49500000002</v>
      </c>
      <c r="N95" s="139"/>
    </row>
    <row r="96" spans="1:14" x14ac:dyDescent="0.25">
      <c r="A96" s="2"/>
      <c r="B96" s="2"/>
      <c r="C96" s="2" t="s">
        <v>10</v>
      </c>
      <c r="D96" s="2" t="s">
        <v>24</v>
      </c>
      <c r="E96" s="2" t="s">
        <v>82</v>
      </c>
      <c r="F96" s="2">
        <v>0</v>
      </c>
      <c r="G96" s="2">
        <v>0</v>
      </c>
      <c r="H96" s="2">
        <v>0</v>
      </c>
      <c r="I96" s="155">
        <f>F96*'Darba algas UZŅEMŠANĀ_jaunais'!$BD$8</f>
        <v>0</v>
      </c>
      <c r="J96" s="155">
        <f>G96*'Darba algas UZŅEMŠANĀ_jaunais'!$BB$8</f>
        <v>0</v>
      </c>
      <c r="K96" s="155">
        <f>H96*'Darba algas UZŅEMŠANĀ_jaunais'!$BA$8</f>
        <v>0</v>
      </c>
      <c r="M96" s="139">
        <f>F96*'Darba algas UZŅEMŠANĀ_jaunais'!$BA$41</f>
        <v>0</v>
      </c>
      <c r="N96" s="139"/>
    </row>
    <row r="97" spans="1:14" x14ac:dyDescent="0.25">
      <c r="A97" s="2"/>
      <c r="B97" s="2"/>
      <c r="C97" s="3" t="s">
        <v>11</v>
      </c>
      <c r="D97" s="2" t="s">
        <v>25</v>
      </c>
      <c r="E97" s="2" t="s">
        <v>65</v>
      </c>
      <c r="F97" s="2">
        <v>1</v>
      </c>
      <c r="G97" s="2">
        <v>0</v>
      </c>
      <c r="H97" s="2">
        <v>0</v>
      </c>
      <c r="I97" s="155">
        <f>F97*'Darba algas UZŅEMŠANĀ_jaunais'!$BD$8</f>
        <v>236019.93968050004</v>
      </c>
      <c r="J97" s="155">
        <f>G97*'Darba algas UZŅEMŠANĀ_jaunais'!$BB$8</f>
        <v>0</v>
      </c>
      <c r="K97" s="155">
        <f>H97*'Darba algas UZŅEMŠANĀ_jaunais'!$BA$8</f>
        <v>0</v>
      </c>
      <c r="M97" s="139">
        <f>F97*'Darba algas UZŅEMŠANĀ_jaunais'!$BA$41</f>
        <v>141154.49500000002</v>
      </c>
      <c r="N97" s="139"/>
    </row>
    <row r="98" spans="1:14" x14ac:dyDescent="0.25">
      <c r="A98" s="2"/>
      <c r="B98" s="2"/>
      <c r="C98" s="3" t="s">
        <v>12</v>
      </c>
      <c r="D98" s="2" t="s">
        <v>26</v>
      </c>
      <c r="E98" s="2" t="s">
        <v>83</v>
      </c>
      <c r="F98" s="2">
        <v>1</v>
      </c>
      <c r="G98" s="2">
        <v>1</v>
      </c>
      <c r="H98" s="2">
        <v>1</v>
      </c>
      <c r="I98" s="155">
        <f>F98*'Darba algas UZŅEMŠANĀ_jaunais'!$BD$8</f>
        <v>236019.93968050004</v>
      </c>
      <c r="J98" s="155">
        <f>G98*'Darba algas UZŅEMŠANĀ_jaunais'!$BB$8</f>
        <v>82058.352937500007</v>
      </c>
      <c r="K98" s="155">
        <f>H98*'Darba algas UZŅEMŠANĀ_jaunais'!$BA$8</f>
        <v>17357.755127250002</v>
      </c>
      <c r="M98" s="139">
        <f>F98*'Darba algas UZŅEMŠANĀ_jaunais'!$BA$41</f>
        <v>141154.49500000002</v>
      </c>
      <c r="N98" s="139"/>
    </row>
    <row r="99" spans="1:14" x14ac:dyDescent="0.25">
      <c r="A99" s="2"/>
      <c r="B99" s="2"/>
      <c r="C99" s="3" t="s">
        <v>26</v>
      </c>
      <c r="D99" s="2" t="s">
        <v>14</v>
      </c>
      <c r="E99" s="2" t="s">
        <v>66</v>
      </c>
      <c r="F99" s="2">
        <v>0</v>
      </c>
      <c r="G99" s="2">
        <v>0</v>
      </c>
      <c r="H99" s="2">
        <v>0</v>
      </c>
      <c r="I99" s="155">
        <f>F99*'Darba algas UZŅEMŠANĀ_jaunais'!$BD$8</f>
        <v>0</v>
      </c>
      <c r="J99" s="155">
        <f>G99*'Darba algas UZŅEMŠANĀ_jaunais'!$BB$8</f>
        <v>0</v>
      </c>
      <c r="K99" s="155">
        <f>H99*'Darba algas UZŅEMŠANĀ_jaunais'!$BA$8</f>
        <v>0</v>
      </c>
      <c r="M99" s="139">
        <f>F99*'Darba algas UZŅEMŠANĀ_jaunais'!$BA$41</f>
        <v>0</v>
      </c>
      <c r="N99" s="139"/>
    </row>
    <row r="100" spans="1:14" x14ac:dyDescent="0.25">
      <c r="A100" s="2"/>
      <c r="B100" s="2"/>
      <c r="C100" s="7" t="s">
        <v>27</v>
      </c>
      <c r="D100" s="2"/>
      <c r="E100" s="2" t="s">
        <v>67</v>
      </c>
      <c r="F100" s="2">
        <v>0</v>
      </c>
      <c r="G100" s="2">
        <v>0</v>
      </c>
      <c r="H100" s="2">
        <v>0</v>
      </c>
      <c r="I100" s="155">
        <f>F100*'Darba algas UZŅEMŠANĀ_jaunais'!$BD$8</f>
        <v>0</v>
      </c>
      <c r="J100" s="155">
        <f>G100*'Darba algas UZŅEMŠANĀ_jaunais'!$BB$8</f>
        <v>0</v>
      </c>
      <c r="K100" s="155">
        <f>H100*'Darba algas UZŅEMŠANĀ_jaunais'!$BA$8</f>
        <v>0</v>
      </c>
      <c r="M100" s="139">
        <f>F100*'Darba algas UZŅEMŠANĀ_jaunais'!$BA$41</f>
        <v>0</v>
      </c>
      <c r="N100" s="139"/>
    </row>
    <row r="101" spans="1:14" x14ac:dyDescent="0.25">
      <c r="A101" s="2"/>
      <c r="B101" s="2"/>
      <c r="C101" s="3"/>
      <c r="D101" s="2"/>
      <c r="E101" s="2" t="s">
        <v>74</v>
      </c>
      <c r="F101" s="2">
        <v>0</v>
      </c>
      <c r="G101" s="2">
        <v>0</v>
      </c>
      <c r="H101" s="2">
        <v>0</v>
      </c>
      <c r="I101" s="155">
        <f>F101*'Darba algas UZŅEMŠANĀ_jaunais'!$BD$8</f>
        <v>0</v>
      </c>
      <c r="J101" s="155">
        <f>G101*'Darba algas UZŅEMŠANĀ_jaunais'!$BB$8</f>
        <v>0</v>
      </c>
      <c r="K101" s="155">
        <f>H101*'Darba algas UZŅEMŠANĀ_jaunais'!$BA$8</f>
        <v>0</v>
      </c>
      <c r="M101" s="139">
        <f>F101*'Darba algas UZŅEMŠANĀ_jaunais'!$BA$41</f>
        <v>0</v>
      </c>
      <c r="N101" s="139"/>
    </row>
    <row r="102" spans="1:14" x14ac:dyDescent="0.25">
      <c r="A102" s="2"/>
      <c r="B102" s="2"/>
      <c r="C102" s="3"/>
      <c r="D102" s="2"/>
      <c r="E102" s="2" t="s">
        <v>75</v>
      </c>
      <c r="F102" s="2">
        <v>1</v>
      </c>
      <c r="G102" s="2">
        <v>0</v>
      </c>
      <c r="H102" s="2">
        <v>0</v>
      </c>
      <c r="I102" s="155">
        <f>F102*'Darba algas UZŅEMŠANĀ_jaunais'!$BD$8</f>
        <v>236019.93968050004</v>
      </c>
      <c r="J102" s="155">
        <f>G102*'Darba algas UZŅEMŠANĀ_jaunais'!$BB$8</f>
        <v>0</v>
      </c>
      <c r="K102" s="155">
        <f>H102*'Darba algas UZŅEMŠANĀ_jaunais'!$BA$8</f>
        <v>0</v>
      </c>
      <c r="M102" s="139">
        <f>F102*'Darba algas UZŅEMŠANĀ_jaunais'!$BA$41</f>
        <v>141154.49500000002</v>
      </c>
      <c r="N102" s="139"/>
    </row>
    <row r="103" spans="1:14" x14ac:dyDescent="0.25">
      <c r="A103" s="2"/>
      <c r="B103" s="2"/>
      <c r="C103" s="3"/>
      <c r="D103" s="2"/>
      <c r="E103" s="2" t="s">
        <v>69</v>
      </c>
      <c r="F103" s="2">
        <v>1</v>
      </c>
      <c r="G103" s="2">
        <v>0</v>
      </c>
      <c r="H103" s="2">
        <v>0</v>
      </c>
      <c r="I103" s="155">
        <f>F103*'Darba algas UZŅEMŠANĀ_jaunais'!$BD$8</f>
        <v>236019.93968050004</v>
      </c>
      <c r="J103" s="155">
        <f>G103*'Darba algas UZŅEMŠANĀ_jaunais'!$BB$8</f>
        <v>0</v>
      </c>
      <c r="K103" s="155">
        <f>H103*'Darba algas UZŅEMŠANĀ_jaunais'!$BA$8</f>
        <v>0</v>
      </c>
      <c r="M103" s="139">
        <f>F103*'Darba algas UZŅEMŠANĀ_jaunais'!$BA$41</f>
        <v>141154.49500000002</v>
      </c>
      <c r="N103" s="139"/>
    </row>
    <row r="104" spans="1:14" x14ac:dyDescent="0.25">
      <c r="A104" s="2"/>
      <c r="B104" s="2"/>
      <c r="C104" s="3"/>
      <c r="D104" s="2"/>
      <c r="E104" s="2" t="s">
        <v>68</v>
      </c>
      <c r="F104" s="2">
        <v>1</v>
      </c>
      <c r="G104" s="2">
        <v>0</v>
      </c>
      <c r="H104" s="2">
        <v>0</v>
      </c>
      <c r="I104" s="155">
        <f>F104*'Darba algas UZŅEMŠANĀ_jaunais'!$BD$8</f>
        <v>236019.93968050004</v>
      </c>
      <c r="J104" s="155">
        <f>G104*'Darba algas UZŅEMŠANĀ_jaunais'!$BB$8</f>
        <v>0</v>
      </c>
      <c r="K104" s="155">
        <f>H104*'Darba algas UZŅEMŠANĀ_jaunais'!$BA$8</f>
        <v>0</v>
      </c>
      <c r="M104" s="139">
        <f>F104*'Darba algas UZŅEMŠANĀ_jaunais'!$BA$41</f>
        <v>141154.49500000002</v>
      </c>
      <c r="N104" s="139"/>
    </row>
    <row r="105" spans="1:14" x14ac:dyDescent="0.25">
      <c r="A105" s="2"/>
      <c r="B105" s="2"/>
      <c r="C105" s="3"/>
      <c r="D105" s="2"/>
      <c r="E105" s="2" t="s">
        <v>70</v>
      </c>
      <c r="F105" s="2">
        <v>1</v>
      </c>
      <c r="G105" s="2">
        <v>0</v>
      </c>
      <c r="H105" s="2">
        <v>0</v>
      </c>
      <c r="I105" s="155">
        <f>F105*'Darba algas UZŅEMŠANĀ_jaunais'!$BD$10</f>
        <v>138971.89955050001</v>
      </c>
      <c r="J105" s="155">
        <f>G105*'Darba algas UZŅEMŠANĀ_jaunais'!$BB$10</f>
        <v>0</v>
      </c>
      <c r="K105" s="155">
        <f>H105*'Darba algas UZŅEMŠANĀ_jaunais'!$BA$10</f>
        <v>0</v>
      </c>
      <c r="M105" s="139">
        <f>F105*'Darba algas UZŅEMŠANĀ_jaunais'!$BA$48</f>
        <v>88297.795000000013</v>
      </c>
      <c r="N105" s="139"/>
    </row>
    <row r="106" spans="1:14" x14ac:dyDescent="0.25">
      <c r="A106" s="2"/>
      <c r="B106" s="2"/>
      <c r="C106" s="3"/>
      <c r="D106" s="2"/>
      <c r="E106" s="2" t="s">
        <v>87</v>
      </c>
      <c r="F106" s="2">
        <v>0</v>
      </c>
      <c r="G106" s="2">
        <v>0</v>
      </c>
      <c r="H106" s="2">
        <v>0</v>
      </c>
      <c r="I106" s="155">
        <f>F106*'Darba algas UZŅEMŠANĀ_jaunais'!$BD$8</f>
        <v>0</v>
      </c>
      <c r="J106" s="155">
        <f>G106*'Darba algas UZŅEMŠANĀ_jaunais'!$BB$8</f>
        <v>0</v>
      </c>
      <c r="K106" s="155">
        <f>H106*'Darba algas UZŅEMŠANĀ_jaunais'!$BA$8</f>
        <v>0</v>
      </c>
      <c r="M106" s="139">
        <f>F106*'Darba algas UZŅEMŠANĀ_jaunais'!$BA$41</f>
        <v>0</v>
      </c>
      <c r="N106" s="139"/>
    </row>
    <row r="107" spans="1:14" x14ac:dyDescent="0.25">
      <c r="A107" s="2"/>
      <c r="B107" s="2"/>
      <c r="C107" s="3"/>
      <c r="D107" s="2"/>
      <c r="E107" s="2" t="s">
        <v>72</v>
      </c>
      <c r="F107" s="2">
        <v>4</v>
      </c>
      <c r="G107" s="2">
        <v>0</v>
      </c>
      <c r="H107" s="2">
        <v>0</v>
      </c>
      <c r="I107" s="155">
        <f>F107*'Darba algas UZŅEMŠANĀ_jaunais'!$BD$10</f>
        <v>555887.59820200002</v>
      </c>
      <c r="J107" s="155">
        <f>G107*'Darba algas UZŅEMŠANĀ_jaunais'!$BB$10</f>
        <v>0</v>
      </c>
      <c r="K107" s="155">
        <f>H107*'Darba algas UZŅEMŠANĀ_jaunais'!$BA$10</f>
        <v>0</v>
      </c>
      <c r="M107" s="139">
        <f>F107*'Darba algas UZŅEMŠANĀ_jaunais'!$BA$48</f>
        <v>353191.18000000005</v>
      </c>
      <c r="N107" s="139"/>
    </row>
    <row r="108" spans="1:14" x14ac:dyDescent="0.25">
      <c r="A108" s="2"/>
      <c r="B108" s="2"/>
      <c r="C108" s="3"/>
      <c r="D108" s="2"/>
      <c r="E108" s="2" t="s">
        <v>76</v>
      </c>
      <c r="F108" s="2">
        <v>2</v>
      </c>
      <c r="G108" s="2">
        <v>0</v>
      </c>
      <c r="H108" s="2">
        <v>0</v>
      </c>
      <c r="I108" s="155">
        <f>F108*'Darba algas UZŅEMŠANĀ_jaunais'!$BD$10</f>
        <v>277943.79910100001</v>
      </c>
      <c r="J108" s="155">
        <f>G108*'Darba algas UZŅEMŠANĀ_jaunais'!$BB$10</f>
        <v>0</v>
      </c>
      <c r="K108" s="155">
        <f>H108*'Darba algas UZŅEMŠANĀ_jaunais'!$BA$10</f>
        <v>0</v>
      </c>
      <c r="M108" s="139">
        <f>F108*'Darba algas UZŅEMŠANĀ_jaunais'!$BA$48</f>
        <v>176595.59000000003</v>
      </c>
      <c r="N108" s="139"/>
    </row>
    <row r="109" spans="1:14" x14ac:dyDescent="0.25">
      <c r="A109" s="2"/>
      <c r="B109" s="2"/>
      <c r="C109" s="3"/>
      <c r="D109" s="2"/>
      <c r="E109" s="2" t="s">
        <v>73</v>
      </c>
      <c r="F109" s="2">
        <v>4</v>
      </c>
      <c r="G109" s="2">
        <v>0</v>
      </c>
      <c r="H109" s="2">
        <v>0</v>
      </c>
      <c r="I109" s="155">
        <f>F109*'Darba algas UZŅEMŠANĀ_jaunais'!$BD$11</f>
        <v>369027.45390999998</v>
      </c>
      <c r="J109" s="155">
        <f>ROUND(G109*'Darba algas UZŅEMŠANĀ_jaunais'!$BA$11,0)</f>
        <v>0</v>
      </c>
      <c r="K109" s="155">
        <f>ROUND(H109*'Darba algas UZŅEMŠANĀ_jaunais'!$BB$11,0)</f>
        <v>0</v>
      </c>
      <c r="M109" s="139">
        <f>F109*'Darba algas UZŅEMŠANĀ_jaunais'!$BA$55</f>
        <v>234466.9</v>
      </c>
      <c r="N109" s="139"/>
    </row>
    <row r="110" spans="1:14" ht="12" thickBot="1" x14ac:dyDescent="0.3">
      <c r="A110" s="2"/>
      <c r="B110" s="2"/>
      <c r="C110" s="3"/>
      <c r="D110" s="2"/>
      <c r="E110" s="176" t="s">
        <v>77</v>
      </c>
      <c r="F110" s="176">
        <v>0</v>
      </c>
      <c r="G110" s="176">
        <v>0</v>
      </c>
      <c r="H110" s="176">
        <v>0</v>
      </c>
      <c r="I110" s="155">
        <f>ROUND(F110*'Darba algas UZŅEMŠANĀ_jaunais'!$BE$10,0)</f>
        <v>0</v>
      </c>
      <c r="J110" s="155">
        <f>G110*'Darba algas UZŅEMŠANĀ_jaunais'!$BB$10</f>
        <v>0</v>
      </c>
      <c r="K110" s="155">
        <f>H110*'Darba algas UZŅEMŠANĀ_jaunais'!$BA$10</f>
        <v>0</v>
      </c>
      <c r="M110" s="139">
        <f>F110*'Darba algas UZŅEMŠANĀ_jaunais'!$BA$48</f>
        <v>0</v>
      </c>
      <c r="N110" s="139"/>
    </row>
    <row r="111" spans="1:14" ht="12" thickBot="1" x14ac:dyDescent="0.3">
      <c r="A111" s="2"/>
      <c r="B111" s="2"/>
      <c r="C111" s="3"/>
      <c r="D111" s="173" t="s">
        <v>179</v>
      </c>
      <c r="E111" s="174">
        <f>SUM(F111:H111)</f>
        <v>2857366.496911251</v>
      </c>
      <c r="F111" s="175">
        <f>I94</f>
        <v>2757950.3888465008</v>
      </c>
      <c r="G111" s="175">
        <f>J94</f>
        <v>82058.352937500007</v>
      </c>
      <c r="H111" s="175">
        <f>K94</f>
        <v>17357.755127250002</v>
      </c>
      <c r="M111" s="139"/>
      <c r="N111" s="139"/>
    </row>
    <row r="112" spans="1:14" ht="23" x14ac:dyDescent="0.25">
      <c r="A112" s="182" t="s">
        <v>90</v>
      </c>
      <c r="B112" s="5" t="s">
        <v>28</v>
      </c>
      <c r="C112" s="5" t="s">
        <v>10</v>
      </c>
      <c r="D112" s="5" t="s">
        <v>10</v>
      </c>
      <c r="E112" s="169" t="s">
        <v>80</v>
      </c>
      <c r="F112" s="5">
        <f>SUM(F113:F122,F124)</f>
        <v>3</v>
      </c>
      <c r="G112" s="5">
        <f>SUM(G113:G122,G124)</f>
        <v>2</v>
      </c>
      <c r="H112" s="5">
        <f>SUM(H113:H122,H124)</f>
        <v>2</v>
      </c>
      <c r="I112" s="170">
        <f>SUM(I113:I128)</f>
        <v>1248497.0567440938</v>
      </c>
      <c r="J112" s="170">
        <f t="shared" ref="J112:K112" si="6">SUM(J113:J128)</f>
        <v>215447.49506250001</v>
      </c>
      <c r="K112" s="170">
        <f t="shared" si="6"/>
        <v>45573.481896750003</v>
      </c>
      <c r="L112" s="153">
        <f>SUM(I112:K112)</f>
        <v>1509518.0337033437</v>
      </c>
      <c r="M112" s="139">
        <f>SUM(M113:M128)</f>
        <v>797938.17156250018</v>
      </c>
      <c r="N112" s="139">
        <f>(F112-1)*'Darba algas UZŅEMŠANĀ_jaunais'!BE15</f>
        <v>27713.759999999998</v>
      </c>
    </row>
    <row r="113" spans="1:14" x14ac:dyDescent="0.25">
      <c r="A113" s="172"/>
      <c r="B113" s="2"/>
      <c r="C113" s="2" t="s">
        <v>11</v>
      </c>
      <c r="D113" s="2" t="s">
        <v>12</v>
      </c>
      <c r="E113" s="2" t="s">
        <v>64</v>
      </c>
      <c r="F113" s="2">
        <v>0</v>
      </c>
      <c r="G113" s="2">
        <v>0</v>
      </c>
      <c r="H113" s="2">
        <v>0</v>
      </c>
      <c r="I113" s="155">
        <f>F113*'Darba algas UZŅEMŠANĀ_jaunais'!$BD$8</f>
        <v>0</v>
      </c>
      <c r="J113" s="155">
        <f>G113*'Darba algas UZŅEMŠANĀ_jaunais'!$BB$8</f>
        <v>0</v>
      </c>
      <c r="K113" s="155">
        <f>H113*'Darba algas UZŅEMŠANĀ_jaunais'!$BA$8</f>
        <v>0</v>
      </c>
      <c r="M113" s="139">
        <f>F113*'Darba algas UZŅEMŠANĀ_jaunais'!$BA$41</f>
        <v>0</v>
      </c>
      <c r="N113" s="139"/>
    </row>
    <row r="114" spans="1:14" x14ac:dyDescent="0.25">
      <c r="A114" s="2"/>
      <c r="B114" s="2"/>
      <c r="C114" s="2" t="s">
        <v>12</v>
      </c>
      <c r="D114" s="3" t="s">
        <v>26</v>
      </c>
      <c r="E114" s="2" t="s">
        <v>82</v>
      </c>
      <c r="F114" s="2">
        <v>0</v>
      </c>
      <c r="G114" s="2">
        <v>0</v>
      </c>
      <c r="H114" s="2">
        <v>0</v>
      </c>
      <c r="I114" s="155">
        <f>F114*'Darba algas UZŅEMŠANĀ_jaunais'!$BD$8</f>
        <v>0</v>
      </c>
      <c r="J114" s="155">
        <f>G114*'Darba algas UZŅEMŠANĀ_jaunais'!$BB$8</f>
        <v>0</v>
      </c>
      <c r="K114" s="155">
        <f>H114*'Darba algas UZŅEMŠANĀ_jaunais'!$BA$8</f>
        <v>0</v>
      </c>
      <c r="M114" s="139">
        <f>F114*'Darba algas UZŅEMŠANĀ_jaunais'!$BA$41</f>
        <v>0</v>
      </c>
      <c r="N114" s="139"/>
    </row>
    <row r="115" spans="1:14" x14ac:dyDescent="0.25">
      <c r="A115" s="2"/>
      <c r="B115" s="2"/>
      <c r="C115" s="3" t="s">
        <v>26</v>
      </c>
      <c r="D115" s="2" t="s">
        <v>14</v>
      </c>
      <c r="E115" s="2" t="s">
        <v>65</v>
      </c>
      <c r="F115" s="2">
        <v>1</v>
      </c>
      <c r="G115" s="2">
        <v>0</v>
      </c>
      <c r="H115" s="2">
        <v>0</v>
      </c>
      <c r="I115" s="155">
        <f>F115*'Darba algas UZŅEMŠANĀ_jaunais'!$BD$8</f>
        <v>236019.93968050004</v>
      </c>
      <c r="J115" s="155">
        <f>G115*'Darba algas UZŅEMŠANĀ_jaunais'!$BB$8</f>
        <v>0</v>
      </c>
      <c r="K115" s="155">
        <f>H115*'Darba algas UZŅEMŠANĀ_jaunais'!$BA$8</f>
        <v>0</v>
      </c>
      <c r="M115" s="139">
        <f>F115*'Darba algas UZŅEMŠANĀ_jaunais'!$BA$41</f>
        <v>141154.49500000002</v>
      </c>
      <c r="N115" s="139"/>
    </row>
    <row r="116" spans="1:14" x14ac:dyDescent="0.25">
      <c r="A116" s="2"/>
      <c r="B116" s="2"/>
      <c r="C116" s="3"/>
      <c r="E116" s="2" t="s">
        <v>83</v>
      </c>
      <c r="F116" s="2">
        <v>1</v>
      </c>
      <c r="G116" s="2">
        <v>0</v>
      </c>
      <c r="H116" s="2">
        <v>0</v>
      </c>
      <c r="I116" s="155">
        <f>F116*'Darba algas UZŅEMŠANĀ_jaunais'!$BD$8</f>
        <v>236019.93968050004</v>
      </c>
      <c r="J116" s="155">
        <f>G116*'Darba algas UZŅEMŠANĀ_jaunais'!$BB$8</f>
        <v>0</v>
      </c>
      <c r="K116" s="155">
        <f>H116*'Darba algas UZŅEMŠANĀ_jaunais'!$BA$8</f>
        <v>0</v>
      </c>
      <c r="M116" s="139">
        <f>F116*'Darba algas UZŅEMŠANĀ_jaunais'!$BA$41</f>
        <v>141154.49500000002</v>
      </c>
      <c r="N116" s="139"/>
    </row>
    <row r="117" spans="1:14" x14ac:dyDescent="0.25">
      <c r="A117" s="2"/>
      <c r="B117" s="2"/>
      <c r="C117" s="3"/>
      <c r="D117" s="3"/>
      <c r="E117" s="2" t="s">
        <v>66</v>
      </c>
      <c r="F117" s="2">
        <v>0</v>
      </c>
      <c r="G117" s="2">
        <v>0</v>
      </c>
      <c r="H117" s="2">
        <v>0</v>
      </c>
      <c r="I117" s="155">
        <f>F117*'Darba algas UZŅEMŠANĀ_jaunais'!$BD$8</f>
        <v>0</v>
      </c>
      <c r="J117" s="155">
        <f>G117*'Darba algas UZŅEMŠANĀ_jaunais'!$BB$8</f>
        <v>0</v>
      </c>
      <c r="K117" s="155">
        <f>H117*'Darba algas UZŅEMŠANĀ_jaunais'!$BA$8</f>
        <v>0</v>
      </c>
      <c r="M117" s="139">
        <f>F117*'Darba algas UZŅEMŠANĀ_jaunais'!$BA$41</f>
        <v>0</v>
      </c>
      <c r="N117" s="139"/>
    </row>
    <row r="118" spans="1:14" x14ac:dyDescent="0.25">
      <c r="A118" s="2"/>
      <c r="B118" s="2"/>
      <c r="C118" s="3"/>
      <c r="D118" s="3"/>
      <c r="E118" s="2" t="s">
        <v>67</v>
      </c>
      <c r="F118" s="2">
        <v>0</v>
      </c>
      <c r="G118" s="2">
        <v>0</v>
      </c>
      <c r="H118" s="2">
        <v>0</v>
      </c>
      <c r="I118" s="155">
        <f>F118*'Darba algas UZŅEMŠANĀ_jaunais'!$BD$8</f>
        <v>0</v>
      </c>
      <c r="J118" s="155">
        <f>G118*'Darba algas UZŅEMŠANĀ_jaunais'!$BB$8</f>
        <v>0</v>
      </c>
      <c r="K118" s="155">
        <f>H118*'Darba algas UZŅEMŠANĀ_jaunais'!$BA$8</f>
        <v>0</v>
      </c>
      <c r="M118" s="139">
        <f>F118*'Darba algas UZŅEMŠANĀ_jaunais'!$BA$41</f>
        <v>0</v>
      </c>
      <c r="N118" s="139"/>
    </row>
    <row r="119" spans="1:14" x14ac:dyDescent="0.25">
      <c r="A119" s="2"/>
      <c r="B119" s="2"/>
      <c r="C119" s="3"/>
      <c r="D119" s="3"/>
      <c r="E119" s="2" t="s">
        <v>74</v>
      </c>
      <c r="F119" s="2">
        <v>0</v>
      </c>
      <c r="G119" s="2">
        <v>0</v>
      </c>
      <c r="H119" s="2">
        <v>0</v>
      </c>
      <c r="I119" s="155">
        <f>F119*'Darba algas UZŅEMŠANĀ_jaunais'!$BD$8</f>
        <v>0</v>
      </c>
      <c r="J119" s="155">
        <f>G119*'Darba algas UZŅEMŠANĀ_jaunais'!$BB$8</f>
        <v>0</v>
      </c>
      <c r="K119" s="155">
        <f>H119*'Darba algas UZŅEMŠANĀ_jaunais'!$BA$8</f>
        <v>0</v>
      </c>
      <c r="M119" s="139">
        <f>F119*'Darba algas UZŅEMŠANĀ_jaunais'!$BA$41</f>
        <v>0</v>
      </c>
      <c r="N119" s="139"/>
    </row>
    <row r="120" spans="1:14" x14ac:dyDescent="0.25">
      <c r="A120" s="2"/>
      <c r="B120" s="2"/>
      <c r="C120" s="3"/>
      <c r="D120" s="3"/>
      <c r="E120" s="2" t="s">
        <v>75</v>
      </c>
      <c r="F120" s="2">
        <v>0</v>
      </c>
      <c r="G120" s="2">
        <v>1</v>
      </c>
      <c r="H120" s="2">
        <v>1</v>
      </c>
      <c r="I120" s="155">
        <f>F120*'Darba algas UZŅEMŠANĀ_jaunais'!$BD$8</f>
        <v>0</v>
      </c>
      <c r="J120" s="155">
        <f>G120*'Darba algas UZŅEMŠANĀ_jaunais'!$BB$8</f>
        <v>82058.352937500007</v>
      </c>
      <c r="K120" s="155">
        <f>H120*'Darba algas UZŅEMŠANĀ_jaunais'!$BA$8</f>
        <v>17357.755127250002</v>
      </c>
      <c r="M120" s="139">
        <f>F120*'Darba algas UZŅEMŠANĀ_jaunais'!$BA$41</f>
        <v>0</v>
      </c>
      <c r="N120" s="139"/>
    </row>
    <row r="121" spans="1:14" x14ac:dyDescent="0.25">
      <c r="A121" s="2"/>
      <c r="B121" s="2"/>
      <c r="C121" s="3"/>
      <c r="D121" s="3"/>
      <c r="E121" s="2" t="s">
        <v>69</v>
      </c>
      <c r="F121" s="2">
        <v>0</v>
      </c>
      <c r="G121" s="2">
        <v>1</v>
      </c>
      <c r="H121" s="2">
        <v>1</v>
      </c>
      <c r="I121" s="155">
        <f>F121*'Darba algas UZŅEMŠANĀ_jaunais'!$BD$8</f>
        <v>0</v>
      </c>
      <c r="J121" s="155">
        <f>G121*'Darba algas UZŅEMŠANĀ_jaunais'!$BB$8</f>
        <v>82058.352937500007</v>
      </c>
      <c r="K121" s="155">
        <f>H121*'Darba algas UZŅEMŠANĀ_jaunais'!$BA$8</f>
        <v>17357.755127250002</v>
      </c>
      <c r="M121" s="139">
        <f>F121*'Darba algas UZŅEMŠANĀ_jaunais'!$BA$41</f>
        <v>0</v>
      </c>
      <c r="N121" s="139"/>
    </row>
    <row r="122" spans="1:14" x14ac:dyDescent="0.25">
      <c r="A122" s="2"/>
      <c r="B122" s="2"/>
      <c r="C122" s="3"/>
      <c r="D122" s="3"/>
      <c r="E122" s="2" t="s">
        <v>184</v>
      </c>
      <c r="F122" s="2">
        <v>1</v>
      </c>
      <c r="G122" s="2">
        <v>0</v>
      </c>
      <c r="H122" s="2">
        <v>0</v>
      </c>
      <c r="I122" s="155">
        <f>F122*'Darba algas UZŅEMŠANĀ_jaunais'!$BD$9</f>
        <v>128312.71570359374</v>
      </c>
      <c r="J122" s="155">
        <f>G122*'Darba algas UZŅEMŠANĀ_jaunais'!$BB$8</f>
        <v>0</v>
      </c>
      <c r="K122" s="155">
        <f>H122*'Darba algas UZŅEMŠANĀ_jaunais'!$BA$8</f>
        <v>0</v>
      </c>
      <c r="M122" s="139">
        <f>F122*'Darba algas UZŅEMŠANĀ_jaunais'!$BA$42</f>
        <v>103821.27656249999</v>
      </c>
      <c r="N122" s="139"/>
    </row>
    <row r="123" spans="1:14" x14ac:dyDescent="0.25">
      <c r="A123" s="2"/>
      <c r="B123" s="2"/>
      <c r="C123" s="3"/>
      <c r="D123" s="3"/>
      <c r="E123" s="2" t="s">
        <v>70</v>
      </c>
      <c r="F123" s="2">
        <v>1</v>
      </c>
      <c r="G123" s="2">
        <v>0</v>
      </c>
      <c r="H123" s="2">
        <v>0</v>
      </c>
      <c r="I123" s="155">
        <f>F123*'Darba algas UZŅEMŠANĀ_jaunais'!$BD$10</f>
        <v>138971.89955050001</v>
      </c>
      <c r="J123" s="155">
        <f>G123*'Darba algas UZŅEMŠANĀ_jaunais'!$BB$10</f>
        <v>0</v>
      </c>
      <c r="K123" s="155">
        <f>H123*'Darba algas UZŅEMŠANĀ_jaunais'!$BA$10</f>
        <v>0</v>
      </c>
      <c r="M123" s="139">
        <f>F123*'Darba algas UZŅEMŠANĀ_jaunais'!$BA$48</f>
        <v>88297.795000000013</v>
      </c>
      <c r="N123" s="139"/>
    </row>
    <row r="124" spans="1:14" x14ac:dyDescent="0.25">
      <c r="A124" s="2"/>
      <c r="B124" s="2"/>
      <c r="C124" s="3"/>
      <c r="D124" s="3"/>
      <c r="E124" s="2" t="s">
        <v>87</v>
      </c>
      <c r="F124" s="2">
        <v>0</v>
      </c>
      <c r="G124" s="2">
        <v>0</v>
      </c>
      <c r="H124" s="2">
        <v>0</v>
      </c>
      <c r="I124" s="155">
        <f>F124*'Darba algas UZŅEMŠANĀ_jaunais'!$BD$8</f>
        <v>0</v>
      </c>
      <c r="J124" s="155">
        <f>G124*'Darba algas UZŅEMŠANĀ_jaunais'!$BB$8</f>
        <v>0</v>
      </c>
      <c r="K124" s="155">
        <f>H124*'Darba algas UZŅEMŠANĀ_jaunais'!$BA$8</f>
        <v>0</v>
      </c>
      <c r="M124" s="139">
        <f>F124*'Darba algas UZŅEMŠANĀ_jaunais'!$BA$41</f>
        <v>0</v>
      </c>
      <c r="N124" s="139"/>
    </row>
    <row r="125" spans="1:14" x14ac:dyDescent="0.25">
      <c r="A125" s="2"/>
      <c r="B125" s="2"/>
      <c r="C125" s="3"/>
      <c r="D125" s="3"/>
      <c r="E125" s="2" t="s">
        <v>72</v>
      </c>
      <c r="F125" s="2">
        <v>1</v>
      </c>
      <c r="G125" s="2">
        <v>1</v>
      </c>
      <c r="H125" s="2">
        <v>1</v>
      </c>
      <c r="I125" s="155">
        <f>F125*'Darba algas UZŅEMŠANĀ_jaunais'!$BD$10</f>
        <v>138971.89955050001</v>
      </c>
      <c r="J125" s="155">
        <f>G125*'Darba algas UZŅEMŠANĀ_jaunais'!$BB$10</f>
        <v>51330.789187500006</v>
      </c>
      <c r="K125" s="155">
        <f>H125*'Darba algas UZŅEMŠANĀ_jaunais'!$BA$10</f>
        <v>10857.971642250001</v>
      </c>
      <c r="M125" s="139">
        <f>F125*'Darba algas UZŅEMŠANĀ_jaunais'!$BA$48</f>
        <v>88297.795000000013</v>
      </c>
      <c r="N125" s="139"/>
    </row>
    <row r="126" spans="1:14" x14ac:dyDescent="0.25">
      <c r="A126" s="2"/>
      <c r="B126" s="2"/>
      <c r="C126" s="3"/>
      <c r="D126" s="3"/>
      <c r="E126" s="2" t="s">
        <v>76</v>
      </c>
      <c r="F126" s="2">
        <v>2</v>
      </c>
      <c r="G126" s="2">
        <v>0</v>
      </c>
      <c r="H126" s="2">
        <v>0</v>
      </c>
      <c r="I126" s="155">
        <f>F126*'Darba algas UZŅEMŠANĀ_jaunais'!$BD$10</f>
        <v>277943.79910100001</v>
      </c>
      <c r="J126" s="155">
        <f>G126*'Darba algas UZŅEMŠANĀ_jaunais'!$BB$10</f>
        <v>0</v>
      </c>
      <c r="K126" s="155">
        <f>H126*'Darba algas UZŅEMŠANĀ_jaunais'!$BA$10</f>
        <v>0</v>
      </c>
      <c r="M126" s="139">
        <f>F126*'Darba algas UZŅEMŠANĀ_jaunais'!$BA$48</f>
        <v>176595.59000000003</v>
      </c>
      <c r="N126" s="139"/>
    </row>
    <row r="127" spans="1:14" x14ac:dyDescent="0.25">
      <c r="A127" s="2"/>
      <c r="B127" s="2"/>
      <c r="C127" s="3"/>
      <c r="D127" s="3"/>
      <c r="E127" s="2" t="s">
        <v>73</v>
      </c>
      <c r="F127" s="2">
        <v>1</v>
      </c>
      <c r="G127" s="2">
        <v>0</v>
      </c>
      <c r="H127" s="2">
        <v>0</v>
      </c>
      <c r="I127" s="155">
        <f>F127*'Darba algas UZŅEMŠANĀ_jaunais'!$BD$11</f>
        <v>92256.863477499995</v>
      </c>
      <c r="J127" s="155">
        <f>ROUND(G127*'Darba algas UZŅEMŠANĀ_jaunais'!$BA$11,0)</f>
        <v>0</v>
      </c>
      <c r="K127" s="155">
        <f>ROUND(H127*'Darba algas UZŅEMŠANĀ_jaunais'!$BB$11,0)</f>
        <v>0</v>
      </c>
      <c r="M127" s="139">
        <f>F127*'Darba algas UZŅEMŠANĀ_jaunais'!$BA$55</f>
        <v>58616.724999999999</v>
      </c>
      <c r="N127" s="139"/>
    </row>
    <row r="128" spans="1:14" ht="12" thickBot="1" x14ac:dyDescent="0.3">
      <c r="A128" s="2"/>
      <c r="B128" s="2"/>
      <c r="C128" s="3"/>
      <c r="D128" s="3"/>
      <c r="E128" s="176" t="s">
        <v>77</v>
      </c>
      <c r="F128" s="176">
        <v>0</v>
      </c>
      <c r="G128" s="176">
        <v>0</v>
      </c>
      <c r="H128" s="176">
        <v>0</v>
      </c>
      <c r="I128" s="155">
        <f>ROUND(F128*'Darba algas UZŅEMŠANĀ_jaunais'!$BE$10,0)</f>
        <v>0</v>
      </c>
      <c r="J128" s="155">
        <f>G128*'Darba algas UZŅEMŠANĀ_jaunais'!$BB$10</f>
        <v>0</v>
      </c>
      <c r="K128" s="155">
        <f>H128*'Darba algas UZŅEMŠANĀ_jaunais'!$BA$10</f>
        <v>0</v>
      </c>
      <c r="M128" s="139">
        <f>F128*'Darba algas UZŅEMŠANĀ_jaunais'!$BA$48</f>
        <v>0</v>
      </c>
      <c r="N128" s="139"/>
    </row>
    <row r="129" spans="1:14" ht="12" thickBot="1" x14ac:dyDescent="0.3">
      <c r="A129" s="2"/>
      <c r="B129" s="2"/>
      <c r="C129" s="3"/>
      <c r="D129" s="173" t="s">
        <v>179</v>
      </c>
      <c r="E129" s="174">
        <f>SUM(F129:H129)</f>
        <v>1509518.0337033437</v>
      </c>
      <c r="F129" s="175">
        <f>I112</f>
        <v>1248497.0567440938</v>
      </c>
      <c r="G129" s="175">
        <f>J112</f>
        <v>215447.49506250001</v>
      </c>
      <c r="H129" s="175">
        <f>K112</f>
        <v>45573.481896750003</v>
      </c>
      <c r="M129" s="139"/>
      <c r="N129" s="139"/>
    </row>
    <row r="130" spans="1:14" ht="23" x14ac:dyDescent="0.25">
      <c r="A130" s="182" t="s">
        <v>90</v>
      </c>
      <c r="B130" s="185" t="s">
        <v>200</v>
      </c>
      <c r="C130" s="5" t="s">
        <v>9</v>
      </c>
      <c r="D130" s="5" t="s">
        <v>18</v>
      </c>
      <c r="E130" s="169" t="s">
        <v>80</v>
      </c>
      <c r="F130" s="5">
        <f>SUM(F131:F140,F142)</f>
        <v>3</v>
      </c>
      <c r="G130" s="5">
        <f>SUM(G131:G140,G142)</f>
        <v>2</v>
      </c>
      <c r="H130" s="5">
        <f>SUM(H131:H140,H142)</f>
        <v>2</v>
      </c>
      <c r="I130" s="170">
        <f>SUM(I131:I146)</f>
        <v>1309489.2446480002</v>
      </c>
      <c r="J130" s="170">
        <f t="shared" ref="J130:K130" si="7">SUM(J131:J146)</f>
        <v>215447.49506250001</v>
      </c>
      <c r="K130" s="170">
        <f t="shared" si="7"/>
        <v>45573.481896750003</v>
      </c>
      <c r="L130" s="153">
        <f>SUM(I130:K130)</f>
        <v>1570510.2216072502</v>
      </c>
      <c r="M130" s="139">
        <f>SUM(M131:M146)</f>
        <v>805590.32000000007</v>
      </c>
      <c r="N130" s="139">
        <f>F130*'Darba algas UZŅEMŠANĀ_jaunais'!BE15</f>
        <v>41570.639999999999</v>
      </c>
    </row>
    <row r="131" spans="1:14" x14ac:dyDescent="0.25">
      <c r="A131" s="2"/>
      <c r="B131" s="2"/>
      <c r="C131" s="2" t="s">
        <v>10</v>
      </c>
      <c r="D131" s="2" t="s">
        <v>10</v>
      </c>
      <c r="E131" s="2" t="s">
        <v>64</v>
      </c>
      <c r="F131" s="2">
        <v>1</v>
      </c>
      <c r="G131" s="2">
        <v>0</v>
      </c>
      <c r="H131" s="2">
        <v>0</v>
      </c>
      <c r="I131" s="155">
        <f>F131*'Darba algas UZŅEMŠANĀ_jaunais'!$BD$8</f>
        <v>236019.93968050004</v>
      </c>
      <c r="J131" s="155">
        <f>G131*'Darba algas UZŅEMŠANĀ_jaunais'!$BB$8</f>
        <v>0</v>
      </c>
      <c r="K131" s="155">
        <f>H131*'Darba algas UZŅEMŠANĀ_jaunais'!$BA$8</f>
        <v>0</v>
      </c>
      <c r="M131" s="139">
        <f>F131*'Darba algas UZŅEMŠANĀ_jaunais'!$BA$41</f>
        <v>141154.49500000002</v>
      </c>
      <c r="N131" s="139"/>
    </row>
    <row r="132" spans="1:14" x14ac:dyDescent="0.25">
      <c r="A132" s="2"/>
      <c r="B132" s="2"/>
      <c r="C132" s="2" t="s">
        <v>13</v>
      </c>
      <c r="D132" s="2" t="s">
        <v>13</v>
      </c>
      <c r="E132" s="2" t="s">
        <v>82</v>
      </c>
      <c r="F132" s="2">
        <v>0</v>
      </c>
      <c r="G132" s="2">
        <v>0</v>
      </c>
      <c r="H132" s="2">
        <v>0</v>
      </c>
      <c r="I132" s="155">
        <f>F132*'Darba algas UZŅEMŠANĀ_jaunais'!$BD$8</f>
        <v>0</v>
      </c>
      <c r="J132" s="155">
        <f>G132*'Darba algas UZŅEMŠANĀ_jaunais'!$BB$8</f>
        <v>0</v>
      </c>
      <c r="K132" s="155">
        <f>H132*'Darba algas UZŅEMŠANĀ_jaunais'!$BA$8</f>
        <v>0</v>
      </c>
      <c r="M132" s="139">
        <f>F132*'Darba algas UZŅEMŠANĀ_jaunais'!$BA$41</f>
        <v>0</v>
      </c>
      <c r="N132" s="139"/>
    </row>
    <row r="133" spans="1:14" x14ac:dyDescent="0.25">
      <c r="A133" s="2"/>
      <c r="B133" s="2"/>
      <c r="C133" s="2"/>
      <c r="D133" s="2"/>
      <c r="E133" s="2" t="s">
        <v>65</v>
      </c>
      <c r="F133" s="2">
        <v>0</v>
      </c>
      <c r="G133" s="2">
        <v>0</v>
      </c>
      <c r="H133" s="2">
        <v>0</v>
      </c>
      <c r="I133" s="155">
        <f>F133*'Darba algas UZŅEMŠANĀ_jaunais'!$BD$8</f>
        <v>0</v>
      </c>
      <c r="J133" s="155">
        <f>G133*'Darba algas UZŅEMŠANĀ_jaunais'!$BB$8</f>
        <v>0</v>
      </c>
      <c r="K133" s="155">
        <f>H133*'Darba algas UZŅEMŠANĀ_jaunais'!$BA$8</f>
        <v>0</v>
      </c>
      <c r="M133" s="139">
        <f>F133*'Darba algas UZŅEMŠANĀ_jaunais'!$BA$41</f>
        <v>0</v>
      </c>
      <c r="N133" s="139"/>
    </row>
    <row r="134" spans="1:14" x14ac:dyDescent="0.25">
      <c r="A134" s="2"/>
      <c r="B134" s="2"/>
      <c r="C134" s="2"/>
      <c r="D134" s="2"/>
      <c r="E134" s="2" t="s">
        <v>83</v>
      </c>
      <c r="F134" s="2">
        <v>0</v>
      </c>
      <c r="G134" s="2">
        <v>0</v>
      </c>
      <c r="H134" s="2">
        <v>0</v>
      </c>
      <c r="I134" s="155">
        <f>F134*'Darba algas UZŅEMŠANĀ_jaunais'!$BD$8</f>
        <v>0</v>
      </c>
      <c r="J134" s="155">
        <f>G134*'Darba algas UZŅEMŠANĀ_jaunais'!$BB$8</f>
        <v>0</v>
      </c>
      <c r="K134" s="155">
        <f>H134*'Darba algas UZŅEMŠANĀ_jaunais'!$BA$8</f>
        <v>0</v>
      </c>
      <c r="M134" s="139">
        <f>F134*'Darba algas UZŅEMŠANĀ_jaunais'!$BA$41</f>
        <v>0</v>
      </c>
      <c r="N134" s="139"/>
    </row>
    <row r="135" spans="1:14" x14ac:dyDescent="0.25">
      <c r="A135" s="2"/>
      <c r="B135" s="2"/>
      <c r="C135" s="2"/>
      <c r="D135" s="2"/>
      <c r="E135" s="2" t="s">
        <v>66</v>
      </c>
      <c r="F135" s="2">
        <v>1</v>
      </c>
      <c r="G135" s="2">
        <v>1</v>
      </c>
      <c r="H135" s="2">
        <v>1</v>
      </c>
      <c r="I135" s="155">
        <f>F135*'Darba algas UZŅEMŠANĀ_jaunais'!$BD$8</f>
        <v>236019.93968050004</v>
      </c>
      <c r="J135" s="155">
        <f>G135*'Darba algas UZŅEMŠANĀ_jaunais'!$BB$8</f>
        <v>82058.352937500007</v>
      </c>
      <c r="K135" s="155">
        <f>H135*'Darba algas UZŅEMŠANĀ_jaunais'!$BA$8</f>
        <v>17357.755127250002</v>
      </c>
      <c r="M135" s="139">
        <f>F135*'Darba algas UZŅEMŠANĀ_jaunais'!$BA$41</f>
        <v>141154.49500000002</v>
      </c>
      <c r="N135" s="139"/>
    </row>
    <row r="136" spans="1:14" x14ac:dyDescent="0.25">
      <c r="A136" s="2"/>
      <c r="B136" s="2"/>
      <c r="C136" s="2"/>
      <c r="D136" s="2"/>
      <c r="E136" s="2" t="s">
        <v>67</v>
      </c>
      <c r="F136" s="2">
        <v>0</v>
      </c>
      <c r="G136" s="2">
        <v>0</v>
      </c>
      <c r="H136" s="2">
        <v>0</v>
      </c>
      <c r="I136" s="155">
        <f>F136*'Darba algas UZŅEMŠANĀ_jaunais'!$BD$8</f>
        <v>0</v>
      </c>
      <c r="J136" s="155">
        <f>G136*'Darba algas UZŅEMŠANĀ_jaunais'!$BB$8</f>
        <v>0</v>
      </c>
      <c r="K136" s="155">
        <f>H136*'Darba algas UZŅEMŠANĀ_jaunais'!$BA$8</f>
        <v>0</v>
      </c>
      <c r="M136" s="139">
        <f>F136*'Darba algas UZŅEMŠANĀ_jaunais'!$BA$41</f>
        <v>0</v>
      </c>
      <c r="N136" s="139"/>
    </row>
    <row r="137" spans="1:14" x14ac:dyDescent="0.25">
      <c r="A137" s="2"/>
      <c r="B137" s="2"/>
      <c r="C137" s="2"/>
      <c r="D137" s="2"/>
      <c r="E137" s="2" t="s">
        <v>74</v>
      </c>
      <c r="F137" s="2">
        <v>0</v>
      </c>
      <c r="G137" s="2">
        <v>0</v>
      </c>
      <c r="H137" s="2">
        <v>0</v>
      </c>
      <c r="I137" s="155">
        <f>F137*'Darba algas UZŅEMŠANĀ_jaunais'!$BD$8</f>
        <v>0</v>
      </c>
      <c r="J137" s="155">
        <f>G137*'Darba algas UZŅEMŠANĀ_jaunais'!$BB$8</f>
        <v>0</v>
      </c>
      <c r="K137" s="155">
        <f>H137*'Darba algas UZŅEMŠANĀ_jaunais'!$BA$8</f>
        <v>0</v>
      </c>
      <c r="M137" s="139">
        <f>F137*'Darba algas UZŅEMŠANĀ_jaunais'!$BA$41</f>
        <v>0</v>
      </c>
      <c r="N137" s="139"/>
    </row>
    <row r="138" spans="1:14" x14ac:dyDescent="0.25">
      <c r="A138" s="2"/>
      <c r="B138" s="2"/>
      <c r="C138" s="2"/>
      <c r="D138" s="2"/>
      <c r="E138" s="2" t="s">
        <v>75</v>
      </c>
      <c r="F138" s="2">
        <v>0</v>
      </c>
      <c r="G138" s="2">
        <v>0</v>
      </c>
      <c r="H138" s="2">
        <v>0</v>
      </c>
      <c r="I138" s="155">
        <f>F138*'Darba algas UZŅEMŠANĀ_jaunais'!$BD$8</f>
        <v>0</v>
      </c>
      <c r="J138" s="155">
        <f>G138*'Darba algas UZŅEMŠANĀ_jaunais'!$BB$8</f>
        <v>0</v>
      </c>
      <c r="K138" s="155">
        <f>H138*'Darba algas UZŅEMŠANĀ_jaunais'!$BA$8</f>
        <v>0</v>
      </c>
      <c r="M138" s="139">
        <f>F138*'Darba algas UZŅEMŠANĀ_jaunais'!$BA$41</f>
        <v>0</v>
      </c>
      <c r="N138" s="139"/>
    </row>
    <row r="139" spans="1:14" x14ac:dyDescent="0.25">
      <c r="A139" s="2"/>
      <c r="B139" s="2"/>
      <c r="C139" s="2"/>
      <c r="D139" s="2"/>
      <c r="E139" s="2" t="s">
        <v>69</v>
      </c>
      <c r="F139" s="2">
        <v>0</v>
      </c>
      <c r="G139" s="2">
        <v>1</v>
      </c>
      <c r="H139" s="2">
        <v>1</v>
      </c>
      <c r="I139" s="155">
        <f>F139*'Darba algas UZŅEMŠANĀ_jaunais'!$BD$8</f>
        <v>0</v>
      </c>
      <c r="J139" s="155">
        <f>G139*'Darba algas UZŅEMŠANĀ_jaunais'!$BB$8</f>
        <v>82058.352937500007</v>
      </c>
      <c r="K139" s="155">
        <f>H139*'Darba algas UZŅEMŠANĀ_jaunais'!$BA$8</f>
        <v>17357.755127250002</v>
      </c>
      <c r="M139" s="139">
        <f>F139*'Darba algas UZŅEMŠANĀ_jaunais'!$BA$41</f>
        <v>0</v>
      </c>
      <c r="N139" s="139"/>
    </row>
    <row r="140" spans="1:14" x14ac:dyDescent="0.25">
      <c r="A140" s="2"/>
      <c r="B140" s="2"/>
      <c r="C140" s="2"/>
      <c r="D140" s="2"/>
      <c r="E140" s="2" t="s">
        <v>68</v>
      </c>
      <c r="F140" s="2">
        <v>1</v>
      </c>
      <c r="G140" s="2">
        <v>0</v>
      </c>
      <c r="H140" s="2">
        <v>0</v>
      </c>
      <c r="I140" s="155">
        <f>F140*'Darba algas UZŅEMŠANĀ_jaunais'!$BD$8</f>
        <v>236019.93968050004</v>
      </c>
      <c r="J140" s="155">
        <f>G140*'Darba algas UZŅEMŠANĀ_jaunais'!$BB$8</f>
        <v>0</v>
      </c>
      <c r="K140" s="155">
        <f>H140*'Darba algas UZŅEMŠANĀ_jaunais'!$BA$8</f>
        <v>0</v>
      </c>
      <c r="M140" s="139">
        <f>F140*'Darba algas UZŅEMŠANĀ_jaunais'!$BA$41</f>
        <v>141154.49500000002</v>
      </c>
      <c r="N140" s="139"/>
    </row>
    <row r="141" spans="1:14" x14ac:dyDescent="0.25">
      <c r="A141" s="2"/>
      <c r="B141" s="2"/>
      <c r="C141" s="2"/>
      <c r="D141" s="2"/>
      <c r="E141" s="2" t="s">
        <v>70</v>
      </c>
      <c r="F141" s="2">
        <v>1</v>
      </c>
      <c r="G141" s="2">
        <v>0</v>
      </c>
      <c r="H141" s="2">
        <v>0</v>
      </c>
      <c r="I141" s="155">
        <f>F141*'Darba algas UZŅEMŠANĀ_jaunais'!$BD$10</f>
        <v>138971.89955050001</v>
      </c>
      <c r="J141" s="155">
        <f>G141*'Darba algas UZŅEMŠANĀ_jaunais'!$BB$10</f>
        <v>0</v>
      </c>
      <c r="K141" s="155">
        <f>H141*'Darba algas UZŅEMŠANĀ_jaunais'!$BA$10</f>
        <v>0</v>
      </c>
      <c r="M141" s="139">
        <f>F141*'Darba algas UZŅEMŠANĀ_jaunais'!$BA$48</f>
        <v>88297.795000000013</v>
      </c>
      <c r="N141" s="139"/>
    </row>
    <row r="142" spans="1:14" x14ac:dyDescent="0.25">
      <c r="A142" s="2"/>
      <c r="B142" s="2"/>
      <c r="C142" s="2"/>
      <c r="D142" s="2"/>
      <c r="E142" s="2" t="s">
        <v>87</v>
      </c>
      <c r="F142" s="2">
        <v>0</v>
      </c>
      <c r="G142" s="2">
        <v>0</v>
      </c>
      <c r="H142" s="2">
        <v>0</v>
      </c>
      <c r="I142" s="155">
        <f>F142*'Darba algas UZŅEMŠANĀ_jaunais'!$BD$8</f>
        <v>0</v>
      </c>
      <c r="J142" s="155">
        <f>G142*'Darba algas UZŅEMŠANĀ_jaunais'!$BB$8</f>
        <v>0</v>
      </c>
      <c r="K142" s="155">
        <f>H142*'Darba algas UZŅEMŠANĀ_jaunais'!$BA$8</f>
        <v>0</v>
      </c>
      <c r="M142" s="139">
        <f>F142*'Darba algas UZŅEMŠANĀ_jaunais'!$BA$41</f>
        <v>0</v>
      </c>
      <c r="N142" s="139"/>
    </row>
    <row r="143" spans="1:14" x14ac:dyDescent="0.25">
      <c r="A143" s="2"/>
      <c r="B143" s="2"/>
      <c r="C143" s="2"/>
      <c r="D143" s="2"/>
      <c r="E143" s="2" t="s">
        <v>72</v>
      </c>
      <c r="F143" s="2">
        <v>2</v>
      </c>
      <c r="G143" s="2">
        <v>1</v>
      </c>
      <c r="H143" s="2">
        <v>1</v>
      </c>
      <c r="I143" s="155">
        <f>F143*'Darba algas UZŅEMŠANĀ_jaunais'!$BD$10</f>
        <v>277943.79910100001</v>
      </c>
      <c r="J143" s="155">
        <f>G143*'Darba algas UZŅEMŠANĀ_jaunais'!$BB$10</f>
        <v>51330.789187500006</v>
      </c>
      <c r="K143" s="155">
        <f>H143*'Darba algas UZŅEMŠANĀ_jaunais'!$BA$10</f>
        <v>10857.971642250001</v>
      </c>
      <c r="M143" s="139">
        <f>F143*'Darba algas UZŅEMŠANĀ_jaunais'!$BA$48</f>
        <v>176595.59000000003</v>
      </c>
      <c r="N143" s="139"/>
    </row>
    <row r="144" spans="1:14" x14ac:dyDescent="0.25">
      <c r="A144" s="2"/>
      <c r="B144" s="2"/>
      <c r="C144" s="2"/>
      <c r="D144" s="2"/>
      <c r="E144" s="2" t="s">
        <v>76</v>
      </c>
      <c r="F144" s="2">
        <v>0</v>
      </c>
      <c r="G144" s="2">
        <v>0</v>
      </c>
      <c r="H144" s="2">
        <v>0</v>
      </c>
      <c r="I144" s="155">
        <f>F144*'Darba algas UZŅEMŠANĀ_jaunais'!$BD$10</f>
        <v>0</v>
      </c>
      <c r="J144" s="155">
        <f>G144*'Darba algas UZŅEMŠANĀ_jaunais'!$BB$10</f>
        <v>0</v>
      </c>
      <c r="K144" s="155">
        <f>H144*'Darba algas UZŅEMŠANĀ_jaunais'!$BA$10</f>
        <v>0</v>
      </c>
      <c r="M144" s="139">
        <f>F144*'Darba algas UZŅEMŠANĀ_jaunais'!$BA$48</f>
        <v>0</v>
      </c>
      <c r="N144" s="139"/>
    </row>
    <row r="145" spans="1:14" x14ac:dyDescent="0.25">
      <c r="A145" s="2"/>
      <c r="B145" s="2"/>
      <c r="C145" s="2"/>
      <c r="D145" s="2"/>
      <c r="E145" s="2" t="s">
        <v>73</v>
      </c>
      <c r="F145" s="2">
        <v>2</v>
      </c>
      <c r="G145" s="2">
        <v>0</v>
      </c>
      <c r="H145" s="2">
        <v>0</v>
      </c>
      <c r="I145" s="155">
        <f>F145*'Darba algas UZŅEMŠANĀ_jaunais'!$BD$11</f>
        <v>184513.72695499999</v>
      </c>
      <c r="J145" s="155">
        <f>ROUND(G145*'Darba algas UZŅEMŠANĀ_jaunais'!$BA$11,0)</f>
        <v>0</v>
      </c>
      <c r="K145" s="155">
        <f>ROUND(H145*'Darba algas UZŅEMŠANĀ_jaunais'!$BB$11,0)</f>
        <v>0</v>
      </c>
      <c r="M145" s="139">
        <f>F145*'Darba algas UZŅEMŠANĀ_jaunais'!$BA$55</f>
        <v>117233.45</v>
      </c>
      <c r="N145" s="139"/>
    </row>
    <row r="146" spans="1:14" ht="12" thickBot="1" x14ac:dyDescent="0.3">
      <c r="A146" s="176"/>
      <c r="B146" s="176"/>
      <c r="C146" s="176"/>
      <c r="D146" s="176"/>
      <c r="E146" s="176" t="s">
        <v>77</v>
      </c>
      <c r="F146" s="176">
        <v>0</v>
      </c>
      <c r="G146" s="176">
        <v>0</v>
      </c>
      <c r="H146" s="176">
        <v>0</v>
      </c>
      <c r="I146" s="155">
        <f>ROUND(F146*'Darba algas UZŅEMŠANĀ_jaunais'!$BE$10,0)</f>
        <v>0</v>
      </c>
      <c r="J146" s="155">
        <f>G146*'Darba algas UZŅEMŠANĀ_jaunais'!$BB$10</f>
        <v>0</v>
      </c>
      <c r="K146" s="155">
        <f>H146*'Darba algas UZŅEMŠANĀ_jaunais'!$BA$10</f>
        <v>0</v>
      </c>
      <c r="M146" s="139">
        <f>F146*'Darba algas UZŅEMŠANĀ_jaunais'!$BA$48</f>
        <v>0</v>
      </c>
      <c r="N146" s="139"/>
    </row>
    <row r="147" spans="1:14" ht="12" thickBot="1" x14ac:dyDescent="0.3">
      <c r="D147" s="173" t="s">
        <v>179</v>
      </c>
      <c r="E147" s="174">
        <f>SUM(F147:H147)</f>
        <v>1570510.2216072502</v>
      </c>
      <c r="F147" s="175">
        <f>I130</f>
        <v>1309489.2446480002</v>
      </c>
      <c r="G147" s="175">
        <f>J130</f>
        <v>215447.49506250001</v>
      </c>
      <c r="H147" s="175">
        <f>K130</f>
        <v>45573.481896750003</v>
      </c>
      <c r="M147" s="139"/>
      <c r="N147" s="139"/>
    </row>
    <row r="148" spans="1:14" ht="12" thickBot="1" x14ac:dyDescent="0.3">
      <c r="A148" s="391" t="s">
        <v>29</v>
      </c>
      <c r="B148" s="392"/>
      <c r="C148" s="392"/>
      <c r="D148" s="393"/>
      <c r="E148" s="186"/>
      <c r="F148" s="186">
        <v>0</v>
      </c>
      <c r="G148" s="186">
        <v>0</v>
      </c>
      <c r="H148" s="186">
        <v>0</v>
      </c>
      <c r="M148" s="139"/>
      <c r="N148" s="139"/>
    </row>
    <row r="149" spans="1:14" x14ac:dyDescent="0.25">
      <c r="A149" s="184" t="s">
        <v>92</v>
      </c>
      <c r="B149" s="5" t="s">
        <v>30</v>
      </c>
      <c r="C149" s="5" t="s">
        <v>7</v>
      </c>
      <c r="D149" s="187" t="s">
        <v>18</v>
      </c>
      <c r="E149" s="169" t="s">
        <v>80</v>
      </c>
      <c r="F149" s="5">
        <f>SUM(F150:F159,F161)</f>
        <v>8</v>
      </c>
      <c r="G149" s="5">
        <f>SUM(G150:G159,G161)</f>
        <v>6</v>
      </c>
      <c r="H149" s="5">
        <f>SUM(H150:H159,H161)</f>
        <v>5</v>
      </c>
      <c r="I149" s="170">
        <f>SUM(I150:I165)</f>
        <v>3923676.5572915003</v>
      </c>
      <c r="J149" s="170">
        <f t="shared" ref="J149:K149" si="8">SUM(J150:J165)</f>
        <v>518136.62423925003</v>
      </c>
      <c r="K149" s="170">
        <f t="shared" si="8"/>
        <v>97646.747278500014</v>
      </c>
      <c r="L149" s="153">
        <f>SUM(I149:K149)</f>
        <v>4539459.9288092507</v>
      </c>
      <c r="M149" s="139">
        <f>SUM(M150:M165)</f>
        <v>2422530.9850000003</v>
      </c>
      <c r="N149" s="139">
        <f>F149*'Darba algas UZŅEMŠANĀ_jaunais'!BE15</f>
        <v>110855.03999999999</v>
      </c>
    </row>
    <row r="150" spans="1:14" x14ac:dyDescent="0.25">
      <c r="A150" s="2"/>
      <c r="B150" s="2"/>
      <c r="C150" s="2" t="s">
        <v>9</v>
      </c>
      <c r="D150" s="2" t="s">
        <v>10</v>
      </c>
      <c r="E150" s="2" t="s">
        <v>64</v>
      </c>
      <c r="F150" s="2">
        <v>1</v>
      </c>
      <c r="G150" s="2">
        <v>1</v>
      </c>
      <c r="H150" s="2">
        <v>1</v>
      </c>
      <c r="I150" s="155">
        <f>F150*'Darba algas UZŅEMŠANĀ_jaunais'!$BD$8</f>
        <v>236019.93968050004</v>
      </c>
      <c r="J150" s="155">
        <f>G150*'Darba algas UZŅEMŠANĀ_jaunais'!$BB$8</f>
        <v>82058.352937500007</v>
      </c>
      <c r="K150" s="155">
        <f>H150*'Darba algas UZŅEMŠANĀ_jaunais'!$BA$8</f>
        <v>17357.755127250002</v>
      </c>
      <c r="M150" s="139">
        <f>F150*'Darba algas UZŅEMŠANĀ_jaunais'!$BA$41</f>
        <v>141154.49500000002</v>
      </c>
      <c r="N150" s="139"/>
    </row>
    <row r="151" spans="1:14" x14ac:dyDescent="0.25">
      <c r="A151" s="2"/>
      <c r="B151" s="2"/>
      <c r="C151" s="2" t="s">
        <v>10</v>
      </c>
      <c r="D151" s="188" t="s">
        <v>24</v>
      </c>
      <c r="E151" s="2" t="s">
        <v>82</v>
      </c>
      <c r="F151" s="2">
        <v>0</v>
      </c>
      <c r="G151" s="2">
        <v>0</v>
      </c>
      <c r="H151" s="2">
        <v>0</v>
      </c>
      <c r="I151" s="155">
        <f>F151*'Darba algas UZŅEMŠANĀ_jaunais'!$BD$8</f>
        <v>0</v>
      </c>
      <c r="J151" s="155">
        <f>G151*'Darba algas UZŅEMŠANĀ_jaunais'!$BB$8</f>
        <v>0</v>
      </c>
      <c r="K151" s="155">
        <f>H151*'Darba algas UZŅEMŠANĀ_jaunais'!$BA$8</f>
        <v>0</v>
      </c>
      <c r="M151" s="139">
        <f>F151*'Darba algas UZŅEMŠANĀ_jaunais'!$BA$41</f>
        <v>0</v>
      </c>
      <c r="N151" s="139"/>
    </row>
    <row r="152" spans="1:14" x14ac:dyDescent="0.25">
      <c r="A152" s="2"/>
      <c r="B152" s="2"/>
      <c r="C152" s="2" t="s">
        <v>11</v>
      </c>
      <c r="D152" s="188" t="s">
        <v>21</v>
      </c>
      <c r="E152" s="2" t="s">
        <v>65</v>
      </c>
      <c r="F152" s="2">
        <v>1</v>
      </c>
      <c r="G152" s="2">
        <v>1</v>
      </c>
      <c r="H152" s="2">
        <v>1</v>
      </c>
      <c r="I152" s="155">
        <f>F152*'Darba algas UZŅEMŠANĀ_jaunais'!$BD$8</f>
        <v>236019.93968050004</v>
      </c>
      <c r="J152" s="155">
        <f>G152*'Darba algas UZŅEMŠANĀ_jaunais'!$BB$8</f>
        <v>82058.352937500007</v>
      </c>
      <c r="K152" s="155">
        <f>H152*'Darba algas UZŅEMŠANĀ_jaunais'!$BA$8</f>
        <v>17357.755127250002</v>
      </c>
      <c r="M152" s="139">
        <f>F152*'Darba algas UZŅEMŠANĀ_jaunais'!$BA$41</f>
        <v>141154.49500000002</v>
      </c>
      <c r="N152" s="139"/>
    </row>
    <row r="153" spans="1:14" x14ac:dyDescent="0.25">
      <c r="A153" s="2"/>
      <c r="B153" s="2"/>
      <c r="C153" s="2" t="s">
        <v>21</v>
      </c>
      <c r="D153" s="188" t="s">
        <v>25</v>
      </c>
      <c r="E153" s="2" t="s">
        <v>83</v>
      </c>
      <c r="F153" s="2">
        <v>1</v>
      </c>
      <c r="G153" s="2">
        <v>1</v>
      </c>
      <c r="H153" s="2">
        <v>1</v>
      </c>
      <c r="I153" s="155">
        <f>F153*'Darba algas UZŅEMŠANĀ_jaunais'!$BD$8</f>
        <v>236019.93968050004</v>
      </c>
      <c r="J153" s="155">
        <f>G153*'Darba algas UZŅEMŠANĀ_jaunais'!$BB$8</f>
        <v>82058.352937500007</v>
      </c>
      <c r="K153" s="155">
        <f>H153*'Darba algas UZŅEMŠANĀ_jaunais'!$BA$8</f>
        <v>17357.755127250002</v>
      </c>
      <c r="M153" s="139">
        <f>F153*'Darba algas UZŅEMŠANĀ_jaunais'!$BA$41</f>
        <v>141154.49500000002</v>
      </c>
      <c r="N153" s="139"/>
    </row>
    <row r="154" spans="1:14" x14ac:dyDescent="0.25">
      <c r="A154" s="2"/>
      <c r="B154" s="2"/>
      <c r="C154" s="2" t="s">
        <v>12</v>
      </c>
      <c r="D154" s="188" t="s">
        <v>26</v>
      </c>
      <c r="E154" s="2" t="s">
        <v>66</v>
      </c>
      <c r="F154" s="2">
        <v>1</v>
      </c>
      <c r="G154" s="2">
        <v>0</v>
      </c>
      <c r="H154" s="2">
        <v>0</v>
      </c>
      <c r="I154" s="155">
        <f>F154*'Darba algas UZŅEMŠANĀ_jaunais'!$BD$8</f>
        <v>236019.93968050004</v>
      </c>
      <c r="J154" s="155">
        <f>G154*'Darba algas UZŅEMŠANĀ_jaunais'!$BB$8</f>
        <v>0</v>
      </c>
      <c r="K154" s="155">
        <f>H154*'Darba algas UZŅEMŠANĀ_jaunais'!$BA$8</f>
        <v>0</v>
      </c>
      <c r="M154" s="139">
        <f>F154*'Darba algas UZŅEMŠANĀ_jaunais'!$BA$41</f>
        <v>141154.49500000002</v>
      </c>
      <c r="N154" s="139"/>
    </row>
    <row r="155" spans="1:14" x14ac:dyDescent="0.25">
      <c r="A155" s="2"/>
      <c r="B155" s="2"/>
      <c r="C155" s="3" t="s">
        <v>26</v>
      </c>
      <c r="D155" s="188" t="s">
        <v>14</v>
      </c>
      <c r="E155" s="2" t="s">
        <v>67</v>
      </c>
      <c r="F155" s="2">
        <v>1</v>
      </c>
      <c r="G155" s="2">
        <v>0</v>
      </c>
      <c r="H155" s="2">
        <v>0</v>
      </c>
      <c r="I155" s="155">
        <f>F155*'Darba algas UZŅEMŠANĀ_jaunais'!$BD$8</f>
        <v>236019.93968050004</v>
      </c>
      <c r="J155" s="155">
        <f>G155*'Darba algas UZŅEMŠANĀ_jaunais'!$BB$8</f>
        <v>0</v>
      </c>
      <c r="K155" s="155">
        <f>H155*'Darba algas UZŅEMŠANĀ_jaunais'!$BA$8</f>
        <v>0</v>
      </c>
      <c r="M155" s="139">
        <f>F155*'Darba algas UZŅEMŠANĀ_jaunais'!$BA$41</f>
        <v>141154.49500000002</v>
      </c>
      <c r="N155" s="139"/>
    </row>
    <row r="156" spans="1:14" x14ac:dyDescent="0.25">
      <c r="A156" s="2"/>
      <c r="C156" s="2" t="s">
        <v>14</v>
      </c>
      <c r="D156" s="2" t="s">
        <v>13</v>
      </c>
      <c r="E156" s="2" t="s">
        <v>74</v>
      </c>
      <c r="F156" s="2">
        <v>1</v>
      </c>
      <c r="G156" s="2">
        <v>0</v>
      </c>
      <c r="H156" s="2">
        <v>0</v>
      </c>
      <c r="I156" s="155">
        <f>F156*'Darba algas UZŅEMŠANĀ_jaunais'!$BD$8</f>
        <v>236019.93968050004</v>
      </c>
      <c r="J156" s="155">
        <f>G156*'Darba algas UZŅEMŠANĀ_jaunais'!$BB$8</f>
        <v>0</v>
      </c>
      <c r="K156" s="155">
        <f>H156*'Darba algas UZŅEMŠANĀ_jaunais'!$BA$8</f>
        <v>0</v>
      </c>
      <c r="M156" s="139">
        <f>F156*'Darba algas UZŅEMŠANĀ_jaunais'!$BA$41</f>
        <v>141154.49500000002</v>
      </c>
      <c r="N156" s="139"/>
    </row>
    <row r="157" spans="1:14" x14ac:dyDescent="0.25">
      <c r="A157" s="2"/>
      <c r="B157" s="2"/>
      <c r="C157" s="2" t="s">
        <v>13</v>
      </c>
      <c r="D157" s="2" t="s">
        <v>15</v>
      </c>
      <c r="E157" s="2" t="s">
        <v>75</v>
      </c>
      <c r="F157" s="2">
        <v>0</v>
      </c>
      <c r="G157" s="2">
        <v>1</v>
      </c>
      <c r="H157" s="2">
        <v>1</v>
      </c>
      <c r="I157" s="155">
        <f>F157*'Darba algas UZŅEMŠANĀ_jaunais'!$BD$8</f>
        <v>0</v>
      </c>
      <c r="J157" s="155">
        <f>G157*'Darba algas UZŅEMŠANĀ_jaunais'!$BB$8</f>
        <v>82058.352937500007</v>
      </c>
      <c r="K157" s="155">
        <f>H157*'Darba algas UZŅEMŠANĀ_jaunais'!$BA$8</f>
        <v>17357.755127250002</v>
      </c>
      <c r="M157" s="139">
        <f>F157*'Darba algas UZŅEMŠANĀ_jaunais'!$BA$41</f>
        <v>0</v>
      </c>
      <c r="N157" s="139"/>
    </row>
    <row r="158" spans="1:14" x14ac:dyDescent="0.25">
      <c r="A158" s="2"/>
      <c r="B158" s="2"/>
      <c r="C158" s="2" t="s">
        <v>15</v>
      </c>
      <c r="D158" s="2" t="s">
        <v>31</v>
      </c>
      <c r="E158" s="2" t="s">
        <v>69</v>
      </c>
      <c r="F158" s="2">
        <v>1</v>
      </c>
      <c r="G158" s="2">
        <v>1</v>
      </c>
      <c r="H158" s="2">
        <v>1</v>
      </c>
      <c r="I158" s="155">
        <f>F158*'Darba algas UZŅEMŠANĀ_jaunais'!$BD$8</f>
        <v>236019.93968050004</v>
      </c>
      <c r="J158" s="155">
        <f>G158*'Darba algas UZŅEMŠANĀ_jaunais'!$BB$8</f>
        <v>82058.352937500007</v>
      </c>
      <c r="K158" s="155">
        <f>H158*'Darba algas UZŅEMŠANĀ_jaunais'!$BA$8</f>
        <v>17357.755127250002</v>
      </c>
      <c r="M158" s="139">
        <f>F158*'Darba algas UZŅEMŠANĀ_jaunais'!$BA$41</f>
        <v>141154.49500000002</v>
      </c>
      <c r="N158" s="139"/>
    </row>
    <row r="159" spans="1:14" x14ac:dyDescent="0.25">
      <c r="A159" s="2"/>
      <c r="B159" s="2"/>
      <c r="C159" s="2" t="s">
        <v>31</v>
      </c>
      <c r="D159" s="188"/>
      <c r="E159" s="2" t="s">
        <v>68</v>
      </c>
      <c r="F159" s="2">
        <v>1</v>
      </c>
      <c r="G159" s="2">
        <v>0</v>
      </c>
      <c r="H159" s="2">
        <v>0</v>
      </c>
      <c r="I159" s="155">
        <f>F159*'Darba algas UZŅEMŠANĀ_jaunais'!$BD$8</f>
        <v>236019.93968050004</v>
      </c>
      <c r="J159" s="155">
        <f>G159*'Darba algas UZŅEMŠANĀ_jaunais'!$BB$8</f>
        <v>0</v>
      </c>
      <c r="K159" s="155">
        <f>H159*'Darba algas UZŅEMŠANĀ_jaunais'!$BA$8</f>
        <v>0</v>
      </c>
      <c r="M159" s="139">
        <f>F159*'Darba algas UZŅEMŠANĀ_jaunais'!$BA$41</f>
        <v>141154.49500000002</v>
      </c>
      <c r="N159" s="139"/>
    </row>
    <row r="160" spans="1:14" x14ac:dyDescent="0.25">
      <c r="A160" s="2"/>
      <c r="B160" s="2"/>
      <c r="C160" s="2"/>
      <c r="D160" s="188"/>
      <c r="E160" s="2" t="s">
        <v>70</v>
      </c>
      <c r="F160" s="2">
        <v>1</v>
      </c>
      <c r="G160" s="2">
        <v>0</v>
      </c>
      <c r="H160" s="2">
        <v>0</v>
      </c>
      <c r="I160" s="155">
        <f>F160*'Darba algas UZŅEMŠANĀ_jaunais'!$BD$10</f>
        <v>138971.89955050001</v>
      </c>
      <c r="J160" s="155">
        <f>G160*'Darba algas UZŅEMŠANĀ_jaunais'!$BB$10</f>
        <v>0</v>
      </c>
      <c r="K160" s="155">
        <f>H160*'Darba algas UZŅEMŠANĀ_jaunais'!$BA$10</f>
        <v>0</v>
      </c>
      <c r="M160" s="139">
        <f>F160*'Darba algas UZŅEMŠANĀ_jaunais'!$BA$48</f>
        <v>88297.795000000013</v>
      </c>
      <c r="N160" s="139"/>
    </row>
    <row r="161" spans="1:14" ht="12.5" x14ac:dyDescent="0.25">
      <c r="A161" s="2"/>
      <c r="B161" s="2"/>
      <c r="C161" s="2"/>
      <c r="D161" s="188"/>
      <c r="E161" s="2" t="s">
        <v>321</v>
      </c>
      <c r="F161" s="2">
        <v>0</v>
      </c>
      <c r="G161" s="197">
        <v>1</v>
      </c>
      <c r="H161" s="197">
        <v>0</v>
      </c>
      <c r="I161" s="155">
        <f>F161*'Darba algas UZŅEMŠANĀ_jaunais'!$BD$8</f>
        <v>0</v>
      </c>
      <c r="J161" s="155">
        <f>G161*'Darba algas UZŅEMŠANĀ_jaunais'!$BC$8</f>
        <v>56514.070364250001</v>
      </c>
      <c r="K161" s="155">
        <f>H161*'Darba algas UZŅEMŠANĀ_jaunais'!$BA$8</f>
        <v>0</v>
      </c>
      <c r="M161" s="140">
        <f>F161*'Darba algas UZŅEMŠANĀ_jaunais'!$BA$41</f>
        <v>0</v>
      </c>
      <c r="N161" s="139"/>
    </row>
    <row r="162" spans="1:14" x14ac:dyDescent="0.25">
      <c r="A162" s="2"/>
      <c r="B162" s="2"/>
      <c r="C162" s="2"/>
      <c r="D162" s="188"/>
      <c r="E162" s="2" t="s">
        <v>72</v>
      </c>
      <c r="F162" s="2">
        <v>7</v>
      </c>
      <c r="G162" s="2">
        <v>1</v>
      </c>
      <c r="H162" s="2">
        <v>1</v>
      </c>
      <c r="I162" s="155">
        <f>F162*'Darba algas UZŅEMŠANĀ_jaunais'!$BD$10</f>
        <v>972803.29685350007</v>
      </c>
      <c r="J162" s="155">
        <f>G162*'Darba algas UZŅEMŠANĀ_jaunais'!$BB$10</f>
        <v>51330.789187500006</v>
      </c>
      <c r="K162" s="155">
        <f>H162*'Darba algas UZŅEMŠANĀ_jaunais'!$BA$10</f>
        <v>10857.971642250001</v>
      </c>
      <c r="M162" s="139">
        <f>F162*'Darba algas UZŅEMŠANĀ_jaunais'!$BA$48</f>
        <v>618084.56500000006</v>
      </c>
      <c r="N162" s="139"/>
    </row>
    <row r="163" spans="1:14" x14ac:dyDescent="0.25">
      <c r="A163" s="2"/>
      <c r="B163" s="2"/>
      <c r="C163" s="2"/>
      <c r="D163" s="188"/>
      <c r="E163" s="2" t="s">
        <v>76</v>
      </c>
      <c r="F163" s="2">
        <v>2</v>
      </c>
      <c r="G163" s="2">
        <v>0</v>
      </c>
      <c r="H163" s="2">
        <v>0</v>
      </c>
      <c r="I163" s="155">
        <f>F163*'Darba algas UZŅEMŠANĀ_jaunais'!$BD$10</f>
        <v>277943.79910100001</v>
      </c>
      <c r="J163" s="155">
        <f>G163*'Darba algas UZŅEMŠANĀ_jaunais'!$BB$10</f>
        <v>0</v>
      </c>
      <c r="K163" s="155">
        <f>H163*'Darba algas UZŅEMŠANĀ_jaunais'!$BA$10</f>
        <v>0</v>
      </c>
      <c r="M163" s="139">
        <f>F163*'Darba algas UZŅEMŠANĀ_jaunais'!$BA$48</f>
        <v>176595.59000000003</v>
      </c>
      <c r="N163" s="139"/>
    </row>
    <row r="164" spans="1:14" x14ac:dyDescent="0.25">
      <c r="A164" s="2"/>
      <c r="B164" s="2"/>
      <c r="C164" s="2"/>
      <c r="D164" s="188"/>
      <c r="E164" s="2" t="s">
        <v>73</v>
      </c>
      <c r="F164" s="2">
        <v>7</v>
      </c>
      <c r="G164" s="2">
        <v>0</v>
      </c>
      <c r="H164" s="2">
        <v>0</v>
      </c>
      <c r="I164" s="155">
        <f>F164*'Darba algas UZŅEMŠANĀ_jaunais'!$BD$11</f>
        <v>645798.04434249992</v>
      </c>
      <c r="J164" s="155">
        <f>ROUND(G164*'Darba algas UZŅEMŠANĀ_jaunais'!$BA$11,0)</f>
        <v>0</v>
      </c>
      <c r="K164" s="155">
        <f>ROUND(H164*'Darba algas UZŅEMŠANĀ_jaunais'!$BB$11,0)</f>
        <v>0</v>
      </c>
      <c r="M164" s="139">
        <f>F164*'Darba algas UZŅEMŠANĀ_jaunais'!$BA$55</f>
        <v>410317.07500000001</v>
      </c>
      <c r="N164" s="139"/>
    </row>
    <row r="165" spans="1:14" ht="12" thickBot="1" x14ac:dyDescent="0.3">
      <c r="A165" s="2"/>
      <c r="B165" s="2"/>
      <c r="C165" s="2"/>
      <c r="D165" s="188"/>
      <c r="E165" s="176" t="s">
        <v>77</v>
      </c>
      <c r="F165" s="176">
        <v>0</v>
      </c>
      <c r="G165" s="176">
        <v>0</v>
      </c>
      <c r="H165" s="176">
        <v>0</v>
      </c>
      <c r="I165" s="155">
        <f>ROUND(F165*'Darba algas UZŅEMŠANĀ_jaunais'!$BE$10,0)</f>
        <v>0</v>
      </c>
      <c r="J165" s="155">
        <f>G165*'Darba algas UZŅEMŠANĀ_jaunais'!$BB$10</f>
        <v>0</v>
      </c>
      <c r="K165" s="155">
        <f>H165*'Darba algas UZŅEMŠANĀ_jaunais'!$BA$10</f>
        <v>0</v>
      </c>
      <c r="M165" s="139">
        <f>F165*'Darba algas UZŅEMŠANĀ_jaunais'!$BA$48</f>
        <v>0</v>
      </c>
      <c r="N165" s="139"/>
    </row>
    <row r="166" spans="1:14" ht="12" thickBot="1" x14ac:dyDescent="0.3">
      <c r="A166" s="2"/>
      <c r="B166" s="2"/>
      <c r="C166" s="2"/>
      <c r="D166" s="173" t="s">
        <v>179</v>
      </c>
      <c r="E166" s="174">
        <f>SUM(F166:H166)</f>
        <v>4539459.9288092507</v>
      </c>
      <c r="F166" s="175">
        <f>I149</f>
        <v>3923676.5572915003</v>
      </c>
      <c r="G166" s="175">
        <f>J149</f>
        <v>518136.62423925003</v>
      </c>
      <c r="H166" s="175">
        <f>K149</f>
        <v>97646.747278500014</v>
      </c>
      <c r="M166" s="139"/>
      <c r="N166" s="139"/>
    </row>
    <row r="167" spans="1:14" x14ac:dyDescent="0.25">
      <c r="A167" s="184" t="s">
        <v>91</v>
      </c>
      <c r="B167" s="5" t="s">
        <v>32</v>
      </c>
      <c r="C167" s="5" t="s">
        <v>7</v>
      </c>
      <c r="D167" s="189" t="s">
        <v>18</v>
      </c>
      <c r="E167" s="169" t="s">
        <v>80</v>
      </c>
      <c r="F167" s="5">
        <f>SUM(F168:F177,F179)</f>
        <v>5</v>
      </c>
      <c r="G167" s="5">
        <f>SUM(G168:G177,G179)</f>
        <v>3</v>
      </c>
      <c r="H167" s="5">
        <f>SUM(H168:H177,H179)</f>
        <v>3</v>
      </c>
      <c r="I167" s="170">
        <f>SUM(I168:I183)</f>
        <v>1951765.6991330939</v>
      </c>
      <c r="J167" s="170">
        <f t="shared" ref="J167:K167" si="9">SUM(J168:J183)</f>
        <v>297505.84800000006</v>
      </c>
      <c r="K167" s="170">
        <f t="shared" si="9"/>
        <v>62931.237024000009</v>
      </c>
      <c r="L167" s="153">
        <f>SUM(I167:K167)</f>
        <v>2312202.7841570941</v>
      </c>
      <c r="M167" s="139">
        <f>SUM(M168:M183)</f>
        <v>1227161.6815625001</v>
      </c>
      <c r="N167" s="139">
        <f>(F167-1)*'Darba algas UZŅEMŠANĀ_jaunais'!BE15</f>
        <v>55427.519999999997</v>
      </c>
    </row>
    <row r="168" spans="1:14" x14ac:dyDescent="0.25">
      <c r="A168" s="2"/>
      <c r="B168" s="2"/>
      <c r="C168" s="2" t="s">
        <v>9</v>
      </c>
      <c r="D168" s="2" t="s">
        <v>10</v>
      </c>
      <c r="E168" s="2" t="s">
        <v>64</v>
      </c>
      <c r="F168" s="2">
        <v>1</v>
      </c>
      <c r="G168" s="2">
        <v>1</v>
      </c>
      <c r="H168" s="2">
        <v>1</v>
      </c>
      <c r="I168" s="155">
        <f>F168*'Darba algas UZŅEMŠANĀ_jaunais'!$BD$8</f>
        <v>236019.93968050004</v>
      </c>
      <c r="J168" s="155">
        <f>G168*'Darba algas UZŅEMŠANĀ_jaunais'!$BB$8</f>
        <v>82058.352937500007</v>
      </c>
      <c r="K168" s="155">
        <f>H168*'Darba algas UZŅEMŠANĀ_jaunais'!$BA$8</f>
        <v>17357.755127250002</v>
      </c>
      <c r="M168" s="139">
        <f>F168*'Darba algas UZŅEMŠANĀ_jaunais'!$BA$41</f>
        <v>141154.49500000002</v>
      </c>
      <c r="N168" s="139"/>
    </row>
    <row r="169" spans="1:14" x14ac:dyDescent="0.25">
      <c r="A169" s="2"/>
      <c r="B169" s="2"/>
      <c r="C169" s="2" t="s">
        <v>10</v>
      </c>
      <c r="D169" s="190" t="s">
        <v>24</v>
      </c>
      <c r="E169" s="2" t="s">
        <v>82</v>
      </c>
      <c r="F169" s="2">
        <v>0</v>
      </c>
      <c r="G169" s="2">
        <v>0</v>
      </c>
      <c r="H169" s="2">
        <v>0</v>
      </c>
      <c r="I169" s="155">
        <f>F169*'Darba algas UZŅEMŠANĀ_jaunais'!$BD$8</f>
        <v>0</v>
      </c>
      <c r="J169" s="155">
        <f>G169*'Darba algas UZŅEMŠANĀ_jaunais'!$BB$8</f>
        <v>0</v>
      </c>
      <c r="K169" s="155">
        <f>H169*'Darba algas UZŅEMŠANĀ_jaunais'!$BA$8</f>
        <v>0</v>
      </c>
      <c r="M169" s="139">
        <f>F169*'Darba algas UZŅEMŠANĀ_jaunais'!$BA$41</f>
        <v>0</v>
      </c>
      <c r="N169" s="139"/>
    </row>
    <row r="170" spans="1:14" x14ac:dyDescent="0.25">
      <c r="A170" s="2"/>
      <c r="B170" s="2"/>
      <c r="C170" s="2" t="s">
        <v>11</v>
      </c>
      <c r="D170" s="2" t="s">
        <v>33</v>
      </c>
      <c r="E170" s="2" t="s">
        <v>65</v>
      </c>
      <c r="F170" s="2">
        <v>1</v>
      </c>
      <c r="G170" s="2">
        <v>0</v>
      </c>
      <c r="H170" s="2">
        <v>0</v>
      </c>
      <c r="I170" s="155">
        <f>F170*'Darba algas UZŅEMŠANĀ_jaunais'!$BD$8</f>
        <v>236019.93968050004</v>
      </c>
      <c r="J170" s="155">
        <f>G170*'Darba algas UZŅEMŠANĀ_jaunais'!$BB$8</f>
        <v>0</v>
      </c>
      <c r="K170" s="155">
        <f>H170*'Darba algas UZŅEMŠANĀ_jaunais'!$BA$8</f>
        <v>0</v>
      </c>
      <c r="M170" s="139">
        <f>F170*'Darba algas UZŅEMŠANĀ_jaunais'!$BA$41</f>
        <v>141154.49500000002</v>
      </c>
      <c r="N170" s="139"/>
    </row>
    <row r="171" spans="1:14" x14ac:dyDescent="0.25">
      <c r="A171" s="2"/>
      <c r="C171" s="2" t="s">
        <v>21</v>
      </c>
      <c r="D171" s="6" t="s">
        <v>25</v>
      </c>
      <c r="E171" s="2" t="s">
        <v>83</v>
      </c>
      <c r="F171" s="2">
        <v>1</v>
      </c>
      <c r="G171" s="2">
        <v>1</v>
      </c>
      <c r="H171" s="2">
        <v>1</v>
      </c>
      <c r="I171" s="155">
        <f>F171*'Darba algas UZŅEMŠANĀ_jaunais'!$BD$8</f>
        <v>236019.93968050004</v>
      </c>
      <c r="J171" s="155">
        <f>G171*'Darba algas UZŅEMŠANĀ_jaunais'!$BB$8</f>
        <v>82058.352937500007</v>
      </c>
      <c r="K171" s="155">
        <f>H171*'Darba algas UZŅEMŠANĀ_jaunais'!$BA$8</f>
        <v>17357.755127250002</v>
      </c>
      <c r="M171" s="139">
        <f>F171*'Darba algas UZŅEMŠANĀ_jaunais'!$BA$41</f>
        <v>141154.49500000002</v>
      </c>
      <c r="N171" s="139"/>
    </row>
    <row r="172" spans="1:14" x14ac:dyDescent="0.25">
      <c r="A172" s="2"/>
      <c r="C172" s="2" t="s">
        <v>12</v>
      </c>
      <c r="D172" s="2" t="s">
        <v>26</v>
      </c>
      <c r="E172" s="2" t="s">
        <v>66</v>
      </c>
      <c r="F172" s="2">
        <v>0</v>
      </c>
      <c r="G172" s="2">
        <v>0</v>
      </c>
      <c r="H172" s="2">
        <v>0</v>
      </c>
      <c r="I172" s="155">
        <f>F172*'Darba algas UZŅEMŠANĀ_jaunais'!$BD$8</f>
        <v>0</v>
      </c>
      <c r="J172" s="155">
        <f>G172*'Darba algas UZŅEMŠANĀ_jaunais'!$BB$8</f>
        <v>0</v>
      </c>
      <c r="K172" s="155">
        <f>H172*'Darba algas UZŅEMŠANĀ_jaunais'!$BA$8</f>
        <v>0</v>
      </c>
      <c r="M172" s="139">
        <f>F172*'Darba algas UZŅEMŠANĀ_jaunais'!$BA$41</f>
        <v>0</v>
      </c>
      <c r="N172" s="139"/>
    </row>
    <row r="173" spans="1:14" x14ac:dyDescent="0.25">
      <c r="A173" s="2"/>
      <c r="C173" s="3" t="s">
        <v>26</v>
      </c>
      <c r="D173" s="6" t="s">
        <v>14</v>
      </c>
      <c r="E173" s="2" t="s">
        <v>67</v>
      </c>
      <c r="F173" s="2">
        <v>0</v>
      </c>
      <c r="G173" s="2">
        <v>0</v>
      </c>
      <c r="H173" s="2">
        <v>0</v>
      </c>
      <c r="I173" s="155">
        <f>F173*'Darba algas UZŅEMŠANĀ_jaunais'!$BD$8</f>
        <v>0</v>
      </c>
      <c r="J173" s="155">
        <f>G173*'Darba algas UZŅEMŠANĀ_jaunais'!$BB$8</f>
        <v>0</v>
      </c>
      <c r="K173" s="155">
        <f>H173*'Darba algas UZŅEMŠANĀ_jaunais'!$BA$8</f>
        <v>0</v>
      </c>
      <c r="M173" s="139">
        <f>F173*'Darba algas UZŅEMŠANĀ_jaunais'!$BA$41</f>
        <v>0</v>
      </c>
      <c r="N173" s="139"/>
    </row>
    <row r="174" spans="1:14" x14ac:dyDescent="0.25">
      <c r="A174" s="2"/>
      <c r="C174" s="2"/>
      <c r="D174" s="2"/>
      <c r="E174" s="2" t="s">
        <v>74</v>
      </c>
      <c r="F174" s="2">
        <v>1</v>
      </c>
      <c r="G174" s="2">
        <v>0</v>
      </c>
      <c r="H174" s="2">
        <v>0</v>
      </c>
      <c r="I174" s="155">
        <f>F174*'Darba algas UZŅEMŠANĀ_jaunais'!$BD$8</f>
        <v>236019.93968050004</v>
      </c>
      <c r="J174" s="155">
        <f>G174*'Darba algas UZŅEMŠANĀ_jaunais'!$BB$8</f>
        <v>0</v>
      </c>
      <c r="K174" s="155">
        <f>H174*'Darba algas UZŅEMŠANĀ_jaunais'!$BA$8</f>
        <v>0</v>
      </c>
      <c r="M174" s="139">
        <f>F174*'Darba algas UZŅEMŠANĀ_jaunais'!$BA$41</f>
        <v>141154.49500000002</v>
      </c>
      <c r="N174" s="139"/>
    </row>
    <row r="175" spans="1:14" x14ac:dyDescent="0.25">
      <c r="A175" s="2"/>
      <c r="C175" s="2"/>
      <c r="D175" s="2"/>
      <c r="E175" s="2" t="s">
        <v>75</v>
      </c>
      <c r="F175" s="2">
        <v>0</v>
      </c>
      <c r="G175" s="2">
        <v>0</v>
      </c>
      <c r="H175" s="2">
        <v>0</v>
      </c>
      <c r="I175" s="155">
        <f>F175*'Darba algas UZŅEMŠANĀ_jaunais'!$BD$8</f>
        <v>0</v>
      </c>
      <c r="J175" s="155">
        <f>G175*'Darba algas UZŅEMŠANĀ_jaunais'!$BB$8</f>
        <v>0</v>
      </c>
      <c r="K175" s="155">
        <f>H175*'Darba algas UZŅEMŠANĀ_jaunais'!$BA$8</f>
        <v>0</v>
      </c>
      <c r="M175" s="139">
        <f>F175*'Darba algas UZŅEMŠANĀ_jaunais'!$BA$41</f>
        <v>0</v>
      </c>
      <c r="N175" s="139"/>
    </row>
    <row r="176" spans="1:14" x14ac:dyDescent="0.25">
      <c r="A176" s="2"/>
      <c r="C176" s="2"/>
      <c r="D176" s="2"/>
      <c r="E176" s="2" t="s">
        <v>69</v>
      </c>
      <c r="F176" s="2">
        <v>0</v>
      </c>
      <c r="G176" s="2">
        <v>1</v>
      </c>
      <c r="H176" s="2">
        <v>1</v>
      </c>
      <c r="I176" s="155">
        <f>F176*'Darba algas UZŅEMŠANĀ_jaunais'!$BD$8</f>
        <v>0</v>
      </c>
      <c r="J176" s="155">
        <f>G176*'Darba algas UZŅEMŠANĀ_jaunais'!$BB$8</f>
        <v>82058.352937500007</v>
      </c>
      <c r="K176" s="155">
        <f>H176*'Darba algas UZŅEMŠANĀ_jaunais'!$BA$8</f>
        <v>17357.755127250002</v>
      </c>
      <c r="M176" s="139">
        <f>F176*'Darba algas UZŅEMŠANĀ_jaunais'!$BA$41</f>
        <v>0</v>
      </c>
      <c r="N176" s="139"/>
    </row>
    <row r="177" spans="1:14" x14ac:dyDescent="0.25">
      <c r="A177" s="2"/>
      <c r="C177" s="2"/>
      <c r="D177" s="2"/>
      <c r="E177" s="2" t="s">
        <v>322</v>
      </c>
      <c r="F177" s="2">
        <v>1</v>
      </c>
      <c r="G177" s="2">
        <v>0</v>
      </c>
      <c r="H177" s="2">
        <v>0</v>
      </c>
      <c r="I177" s="155">
        <f>F177*'Darba algas UZŅEMŠANĀ_jaunais'!$BD$9</f>
        <v>128312.71570359374</v>
      </c>
      <c r="J177" s="155">
        <f>G177*'Darba algas UZŅEMŠANĀ_jaunais'!$BB$8</f>
        <v>0</v>
      </c>
      <c r="K177" s="155">
        <f>H177*'Darba algas UZŅEMŠANĀ_jaunais'!$BA$8</f>
        <v>0</v>
      </c>
      <c r="M177" s="139">
        <f>F177*'Darba algas UZŅEMŠANĀ_jaunais'!$BA$42</f>
        <v>103821.27656249999</v>
      </c>
      <c r="N177" s="139"/>
    </row>
    <row r="178" spans="1:14" x14ac:dyDescent="0.25">
      <c r="A178" s="2"/>
      <c r="C178" s="2"/>
      <c r="D178" s="2"/>
      <c r="E178" s="2" t="s">
        <v>70</v>
      </c>
      <c r="F178" s="2">
        <v>1</v>
      </c>
      <c r="G178" s="2">
        <v>0</v>
      </c>
      <c r="H178" s="2">
        <v>0</v>
      </c>
      <c r="I178" s="155">
        <f>F178*'Darba algas UZŅEMŠANĀ_jaunais'!$BD$10</f>
        <v>138971.89955050001</v>
      </c>
      <c r="J178" s="155">
        <f>G178*'Darba algas UZŅEMŠANĀ_jaunais'!$BB$10</f>
        <v>0</v>
      </c>
      <c r="K178" s="155">
        <f>H178*'Darba algas UZŅEMŠANĀ_jaunais'!$BA$10</f>
        <v>0</v>
      </c>
      <c r="M178" s="139">
        <f>F178*'Darba algas UZŅEMŠANĀ_jaunais'!$BA$48</f>
        <v>88297.795000000013</v>
      </c>
      <c r="N178" s="139"/>
    </row>
    <row r="179" spans="1:14" x14ac:dyDescent="0.25">
      <c r="A179" s="2"/>
      <c r="C179" s="2"/>
      <c r="D179" s="2"/>
      <c r="E179" s="2" t="s">
        <v>87</v>
      </c>
      <c r="F179" s="2">
        <v>0</v>
      </c>
      <c r="G179" s="2">
        <v>0</v>
      </c>
      <c r="H179" s="2">
        <v>0</v>
      </c>
      <c r="I179" s="155">
        <f>F179*'Darba algas UZŅEMŠANĀ_jaunais'!$BD$8</f>
        <v>0</v>
      </c>
      <c r="J179" s="155">
        <f>G179*'Darba algas UZŅEMŠANĀ_jaunais'!$BB$8</f>
        <v>0</v>
      </c>
      <c r="K179" s="155">
        <f>H179*'Darba algas UZŅEMŠANĀ_jaunais'!$BA$8</f>
        <v>0</v>
      </c>
      <c r="M179" s="139">
        <f>F179*'Darba algas UZŅEMŠANĀ_jaunais'!$BA$41</f>
        <v>0</v>
      </c>
      <c r="N179" s="139"/>
    </row>
    <row r="180" spans="1:14" x14ac:dyDescent="0.25">
      <c r="A180" s="2"/>
      <c r="C180" s="2"/>
      <c r="D180" s="2"/>
      <c r="E180" s="2" t="s">
        <v>72</v>
      </c>
      <c r="F180" s="2">
        <v>2</v>
      </c>
      <c r="G180" s="2">
        <v>1</v>
      </c>
      <c r="H180" s="2">
        <v>1</v>
      </c>
      <c r="I180" s="155">
        <f>F180*'Darba algas UZŅEMŠANĀ_jaunais'!$BD$10</f>
        <v>277943.79910100001</v>
      </c>
      <c r="J180" s="155">
        <f>G180*'Darba algas UZŅEMŠANĀ_jaunais'!$BB$10</f>
        <v>51330.789187500006</v>
      </c>
      <c r="K180" s="155">
        <f>H180*'Darba algas UZŅEMŠANĀ_jaunais'!$BA$10</f>
        <v>10857.971642250001</v>
      </c>
      <c r="M180" s="139">
        <f>F180*'Darba algas UZŅEMŠANĀ_jaunais'!$BA$48</f>
        <v>176595.59000000003</v>
      </c>
      <c r="N180" s="139"/>
    </row>
    <row r="181" spans="1:14" x14ac:dyDescent="0.25">
      <c r="A181" s="2"/>
      <c r="C181" s="2"/>
      <c r="D181" s="2"/>
      <c r="E181" s="2" t="s">
        <v>76</v>
      </c>
      <c r="F181" s="2">
        <v>2</v>
      </c>
      <c r="G181" s="2">
        <v>0</v>
      </c>
      <c r="H181" s="2">
        <v>0</v>
      </c>
      <c r="I181" s="155">
        <f>F181*'Darba algas UZŅEMŠANĀ_jaunais'!$BD$10</f>
        <v>277943.79910100001</v>
      </c>
      <c r="J181" s="155">
        <f>G181*'Darba algas UZŅEMŠANĀ_jaunais'!$BB$10</f>
        <v>0</v>
      </c>
      <c r="K181" s="155">
        <f>H181*'Darba algas UZŅEMŠANĀ_jaunais'!$BA$10</f>
        <v>0</v>
      </c>
      <c r="M181" s="139">
        <f>F181*'Darba algas UZŅEMŠANĀ_jaunais'!$BA$48</f>
        <v>176595.59000000003</v>
      </c>
      <c r="N181" s="139"/>
    </row>
    <row r="182" spans="1:14" x14ac:dyDescent="0.25">
      <c r="A182" s="2"/>
      <c r="C182" s="2"/>
      <c r="D182" s="2"/>
      <c r="E182" s="2" t="s">
        <v>73</v>
      </c>
      <c r="F182" s="2">
        <v>2</v>
      </c>
      <c r="G182" s="2">
        <v>0</v>
      </c>
      <c r="H182" s="2">
        <v>0</v>
      </c>
      <c r="I182" s="155">
        <f>F182*'Darba algas UZŅEMŠANĀ_jaunais'!$BD$11</f>
        <v>184513.72695499999</v>
      </c>
      <c r="J182" s="155">
        <f>ROUND(G182*'Darba algas UZŅEMŠANĀ_jaunais'!$BA$11,0)</f>
        <v>0</v>
      </c>
      <c r="K182" s="155">
        <f>ROUND(H182*'Darba algas UZŅEMŠANĀ_jaunais'!$BB$11,0)</f>
        <v>0</v>
      </c>
      <c r="M182" s="139">
        <f>F182*'Darba algas UZŅEMŠANĀ_jaunais'!$BA$55</f>
        <v>117233.45</v>
      </c>
      <c r="N182" s="139"/>
    </row>
    <row r="183" spans="1:14" ht="12" thickBot="1" x14ac:dyDescent="0.3">
      <c r="A183" s="2"/>
      <c r="C183" s="2"/>
      <c r="D183" s="2"/>
      <c r="E183" s="176" t="s">
        <v>77</v>
      </c>
      <c r="F183" s="176">
        <v>0</v>
      </c>
      <c r="G183" s="176">
        <v>0</v>
      </c>
      <c r="H183" s="176">
        <v>0</v>
      </c>
      <c r="I183" s="155">
        <f>ROUND(F183*'Darba algas UZŅEMŠANĀ_jaunais'!$BE$10,0)</f>
        <v>0</v>
      </c>
      <c r="J183" s="155">
        <f>G183*'Darba algas UZŅEMŠANĀ_jaunais'!$BB$10</f>
        <v>0</v>
      </c>
      <c r="K183" s="155">
        <f>H183*'Darba algas UZŅEMŠANĀ_jaunais'!$BA$10</f>
        <v>0</v>
      </c>
      <c r="M183" s="139">
        <f>F183*'Darba algas UZŅEMŠANĀ_jaunais'!$BA$48</f>
        <v>0</v>
      </c>
      <c r="N183" s="139"/>
    </row>
    <row r="184" spans="1:14" ht="12" thickBot="1" x14ac:dyDescent="0.3">
      <c r="A184" s="2"/>
      <c r="C184" s="2"/>
      <c r="D184" s="173" t="s">
        <v>179</v>
      </c>
      <c r="E184" s="174">
        <f>SUM(F184:H184)</f>
        <v>2312202.7841570941</v>
      </c>
      <c r="F184" s="175">
        <f>I167</f>
        <v>1951765.6991330939</v>
      </c>
      <c r="G184" s="175">
        <f>J167</f>
        <v>297505.84800000006</v>
      </c>
      <c r="H184" s="175">
        <f>K167</f>
        <v>62931.237024000009</v>
      </c>
      <c r="M184" s="139"/>
      <c r="N184" s="139"/>
    </row>
    <row r="185" spans="1:14" x14ac:dyDescent="0.25">
      <c r="A185" s="5" t="s">
        <v>34</v>
      </c>
      <c r="B185" s="5" t="s">
        <v>35</v>
      </c>
      <c r="C185" s="5" t="s">
        <v>10</v>
      </c>
      <c r="D185" s="191"/>
      <c r="E185" s="192" t="s">
        <v>81</v>
      </c>
      <c r="F185" s="192" t="s">
        <v>81</v>
      </c>
      <c r="G185" s="192" t="s">
        <v>81</v>
      </c>
      <c r="H185" s="192" t="s">
        <v>81</v>
      </c>
      <c r="M185" s="139"/>
      <c r="N185" s="139"/>
    </row>
    <row r="186" spans="1:14" ht="12" thickBot="1" x14ac:dyDescent="0.3">
      <c r="A186" s="176"/>
      <c r="B186" s="176"/>
      <c r="C186" s="176"/>
      <c r="D186" s="193" t="s">
        <v>10</v>
      </c>
      <c r="F186" s="2">
        <v>0</v>
      </c>
      <c r="G186" s="2">
        <v>0</v>
      </c>
      <c r="H186" s="2">
        <v>0</v>
      </c>
      <c r="M186" s="139"/>
      <c r="N186" s="139"/>
    </row>
    <row r="187" spans="1:14" x14ac:dyDescent="0.25">
      <c r="A187" s="5" t="s">
        <v>34</v>
      </c>
      <c r="B187" s="5" t="s">
        <v>36</v>
      </c>
      <c r="C187" s="5" t="s">
        <v>10</v>
      </c>
      <c r="D187" s="191"/>
      <c r="E187" s="191" t="s">
        <v>81</v>
      </c>
      <c r="F187" s="191" t="s">
        <v>81</v>
      </c>
      <c r="G187" s="191" t="s">
        <v>81</v>
      </c>
      <c r="H187" s="191" t="s">
        <v>81</v>
      </c>
      <c r="M187" s="139"/>
      <c r="N187" s="139"/>
    </row>
    <row r="188" spans="1:14" ht="12" thickBot="1" x14ac:dyDescent="0.3">
      <c r="A188" s="176"/>
      <c r="B188" s="176"/>
      <c r="C188" s="176"/>
      <c r="D188" s="176" t="s">
        <v>10</v>
      </c>
      <c r="E188" s="176"/>
      <c r="F188" s="176">
        <v>0</v>
      </c>
      <c r="G188" s="176">
        <v>0</v>
      </c>
      <c r="H188" s="176">
        <v>0</v>
      </c>
      <c r="M188" s="139"/>
      <c r="N188" s="139"/>
    </row>
    <row r="189" spans="1:14" x14ac:dyDescent="0.25">
      <c r="A189" s="184" t="s">
        <v>92</v>
      </c>
      <c r="B189" s="5" t="s">
        <v>183</v>
      </c>
      <c r="C189" s="5" t="s">
        <v>7</v>
      </c>
      <c r="D189" s="187" t="s">
        <v>18</v>
      </c>
      <c r="E189" s="169" t="s">
        <v>80</v>
      </c>
      <c r="F189" s="5">
        <f>SUM(F190:F200,F202)</f>
        <v>10</v>
      </c>
      <c r="G189" s="5">
        <f>SUM(G190:G199,G201)</f>
        <v>4</v>
      </c>
      <c r="H189" s="5">
        <f>SUM(H190:H199,H201)</f>
        <v>4</v>
      </c>
      <c r="I189" s="170">
        <f>SUM(I190:I206)</f>
        <v>4765917.39231</v>
      </c>
      <c r="J189" s="170">
        <f t="shared" ref="J189:K189" si="10">SUM(J190:J206)</f>
        <v>379564.20093750005</v>
      </c>
      <c r="K189" s="170">
        <f t="shared" si="10"/>
        <v>80288.992151250015</v>
      </c>
      <c r="L189" s="153">
        <f>SUM(I189:K189)</f>
        <v>5225770.5853987504</v>
      </c>
      <c r="M189" s="139">
        <f>SUM(M190:M206)</f>
        <v>2940052.29</v>
      </c>
      <c r="N189" s="139">
        <f>F189*'Darba algas UZŅEMŠANĀ_jaunais'!BE15</f>
        <v>138568.79999999999</v>
      </c>
    </row>
    <row r="190" spans="1:14" x14ac:dyDescent="0.25">
      <c r="A190" s="2"/>
      <c r="B190" s="2"/>
      <c r="C190" s="2" t="s">
        <v>9</v>
      </c>
      <c r="D190" s="2" t="s">
        <v>10</v>
      </c>
      <c r="E190" s="2" t="s">
        <v>64</v>
      </c>
      <c r="F190" s="2">
        <v>2</v>
      </c>
      <c r="G190" s="2">
        <v>1</v>
      </c>
      <c r="H190" s="2">
        <v>1</v>
      </c>
      <c r="I190" s="155">
        <f>F190*'Darba algas UZŅEMŠANĀ_jaunais'!$BD$8</f>
        <v>472039.87936100009</v>
      </c>
      <c r="J190" s="155">
        <f>G190*'Darba algas UZŅEMŠANĀ_jaunais'!$BB$8</f>
        <v>82058.352937500007</v>
      </c>
      <c r="K190" s="155">
        <f>H190*'Darba algas UZŅEMŠANĀ_jaunais'!$BA$8</f>
        <v>17357.755127250002</v>
      </c>
      <c r="M190" s="139">
        <f>F190*'Darba algas UZŅEMŠANĀ_jaunais'!$BA$41</f>
        <v>282308.99000000005</v>
      </c>
      <c r="N190" s="139"/>
    </row>
    <row r="191" spans="1:14" x14ac:dyDescent="0.25">
      <c r="A191" s="2"/>
      <c r="B191" s="2"/>
      <c r="C191" s="2" t="s">
        <v>11</v>
      </c>
      <c r="D191" s="188" t="s">
        <v>24</v>
      </c>
      <c r="E191" s="2" t="s">
        <v>82</v>
      </c>
      <c r="F191" s="2">
        <v>0</v>
      </c>
      <c r="G191" s="2">
        <v>0</v>
      </c>
      <c r="H191" s="2">
        <v>0</v>
      </c>
      <c r="I191" s="155">
        <f>F191*'Darba algas UZŅEMŠANĀ_jaunais'!$BD$8</f>
        <v>0</v>
      </c>
      <c r="J191" s="155">
        <f>G191*'Darba algas UZŅEMŠANĀ_jaunais'!$BB$8</f>
        <v>0</v>
      </c>
      <c r="K191" s="155">
        <f>H191*'Darba algas UZŅEMŠANĀ_jaunais'!$BA$8</f>
        <v>0</v>
      </c>
      <c r="M191" s="139">
        <f>F191*'Darba algas UZŅEMŠANĀ_jaunais'!$BA$41</f>
        <v>0</v>
      </c>
      <c r="N191" s="139"/>
    </row>
    <row r="192" spans="1:14" x14ac:dyDescent="0.25">
      <c r="A192" s="2"/>
      <c r="B192" s="2"/>
      <c r="C192" s="2" t="s">
        <v>37</v>
      </c>
      <c r="D192" s="188" t="s">
        <v>21</v>
      </c>
      <c r="E192" s="2" t="s">
        <v>65</v>
      </c>
      <c r="F192" s="2">
        <v>2</v>
      </c>
      <c r="G192" s="2">
        <v>1</v>
      </c>
      <c r="H192" s="2">
        <v>1</v>
      </c>
      <c r="I192" s="155">
        <f>F192*'Darba algas UZŅEMŠANĀ_jaunais'!$BD$8</f>
        <v>472039.87936100009</v>
      </c>
      <c r="J192" s="155">
        <f>G192*'Darba algas UZŅEMŠANĀ_jaunais'!$BB$8</f>
        <v>82058.352937500007</v>
      </c>
      <c r="K192" s="155">
        <f>H192*'Darba algas UZŅEMŠANĀ_jaunais'!$BA$8</f>
        <v>17357.755127250002</v>
      </c>
      <c r="M192" s="139">
        <f>F192*'Darba algas UZŅEMŠANĀ_jaunais'!$BA$41</f>
        <v>282308.99000000005</v>
      </c>
      <c r="N192" s="139"/>
    </row>
    <row r="193" spans="1:14" x14ac:dyDescent="0.25">
      <c r="A193" s="2"/>
      <c r="B193" s="2"/>
      <c r="C193" s="2" t="s">
        <v>12</v>
      </c>
      <c r="D193" s="188" t="s">
        <v>25</v>
      </c>
      <c r="E193" s="2" t="s">
        <v>83</v>
      </c>
      <c r="F193" s="2">
        <v>1</v>
      </c>
      <c r="G193" s="2">
        <v>1</v>
      </c>
      <c r="H193" s="2">
        <v>1</v>
      </c>
      <c r="I193" s="155">
        <f>F193*'Darba algas UZŅEMŠANĀ_jaunais'!$BD$8</f>
        <v>236019.93968050004</v>
      </c>
      <c r="J193" s="155">
        <f>G193*'Darba algas UZŅEMŠANĀ_jaunais'!$BB$8</f>
        <v>82058.352937500007</v>
      </c>
      <c r="K193" s="155">
        <f>H193*'Darba algas UZŅEMŠANĀ_jaunais'!$BA$8</f>
        <v>17357.755127250002</v>
      </c>
      <c r="M193" s="139">
        <f>F193*'Darba algas UZŅEMŠANĀ_jaunais'!$BA$41</f>
        <v>141154.49500000002</v>
      </c>
      <c r="N193" s="139"/>
    </row>
    <row r="194" spans="1:14" x14ac:dyDescent="0.25">
      <c r="A194" s="2"/>
      <c r="B194" s="2"/>
      <c r="C194" s="3" t="s">
        <v>26</v>
      </c>
      <c r="D194" s="188" t="s">
        <v>26</v>
      </c>
      <c r="E194" s="2" t="s">
        <v>66</v>
      </c>
      <c r="F194" s="2">
        <v>1</v>
      </c>
      <c r="G194" s="2">
        <v>0</v>
      </c>
      <c r="H194" s="2">
        <v>0</v>
      </c>
      <c r="I194" s="155">
        <f>F194*'Darba algas UZŅEMŠANĀ_jaunais'!$BD$8</f>
        <v>236019.93968050004</v>
      </c>
      <c r="J194" s="155">
        <f>G194*'Darba algas UZŅEMŠANĀ_jaunais'!$BB$8</f>
        <v>0</v>
      </c>
      <c r="K194" s="155">
        <f>H194*'Darba algas UZŅEMŠANĀ_jaunais'!$BA$8</f>
        <v>0</v>
      </c>
      <c r="M194" s="139">
        <f>F194*'Darba algas UZŅEMŠANĀ_jaunais'!$BA$41</f>
        <v>141154.49500000002</v>
      </c>
      <c r="N194" s="139"/>
    </row>
    <row r="195" spans="1:14" x14ac:dyDescent="0.25">
      <c r="A195" s="2"/>
      <c r="B195" s="2"/>
      <c r="C195" s="2" t="s">
        <v>14</v>
      </c>
      <c r="D195" s="188" t="s">
        <v>14</v>
      </c>
      <c r="E195" s="2" t="s">
        <v>67</v>
      </c>
      <c r="F195" s="2">
        <v>1</v>
      </c>
      <c r="G195" s="2">
        <v>0</v>
      </c>
      <c r="H195" s="2">
        <v>0</v>
      </c>
      <c r="I195" s="155">
        <f>F195*'Darba algas UZŅEMŠANĀ_jaunais'!$BD$8</f>
        <v>236019.93968050004</v>
      </c>
      <c r="J195" s="155">
        <f>G195*'Darba algas UZŅEMŠANĀ_jaunais'!$BB$8</f>
        <v>0</v>
      </c>
      <c r="K195" s="155">
        <f>H195*'Darba algas UZŅEMŠANĀ_jaunais'!$BA$8</f>
        <v>0</v>
      </c>
      <c r="M195" s="139">
        <f>F195*'Darba algas UZŅEMŠANĀ_jaunais'!$BA$41</f>
        <v>141154.49500000002</v>
      </c>
      <c r="N195" s="139"/>
    </row>
    <row r="196" spans="1:14" x14ac:dyDescent="0.25">
      <c r="A196" s="2"/>
      <c r="C196" s="2" t="s">
        <v>13</v>
      </c>
      <c r="D196" s="2" t="s">
        <v>13</v>
      </c>
      <c r="E196" s="2" t="s">
        <v>74</v>
      </c>
      <c r="F196" s="2">
        <v>1</v>
      </c>
      <c r="G196" s="2">
        <v>0</v>
      </c>
      <c r="H196" s="2">
        <v>0</v>
      </c>
      <c r="I196" s="155">
        <f>F196*'Darba algas UZŅEMŠANĀ_jaunais'!$BD$8</f>
        <v>236019.93968050004</v>
      </c>
      <c r="J196" s="155">
        <f>G196*'Darba algas UZŅEMŠANĀ_jaunais'!$BB$8</f>
        <v>0</v>
      </c>
      <c r="K196" s="155">
        <f>H196*'Darba algas UZŅEMŠANĀ_jaunais'!$BA$8</f>
        <v>0</v>
      </c>
      <c r="M196" s="139">
        <f>F196*'Darba algas UZŅEMŠANĀ_jaunais'!$BA$41</f>
        <v>141154.49500000002</v>
      </c>
      <c r="N196" s="139"/>
    </row>
    <row r="197" spans="1:14" x14ac:dyDescent="0.25">
      <c r="A197" s="2"/>
      <c r="B197" s="2"/>
      <c r="C197" s="2" t="s">
        <v>15</v>
      </c>
      <c r="D197" s="2" t="s">
        <v>15</v>
      </c>
      <c r="E197" s="2" t="s">
        <v>75</v>
      </c>
      <c r="F197" s="2">
        <v>0</v>
      </c>
      <c r="G197" s="2">
        <v>0</v>
      </c>
      <c r="H197" s="2">
        <v>0</v>
      </c>
      <c r="I197" s="155">
        <f>F197*'Darba algas UZŅEMŠANĀ_jaunais'!$BD$8</f>
        <v>0</v>
      </c>
      <c r="J197" s="155">
        <f>G197*'Darba algas UZŅEMŠANĀ_jaunais'!$BB$8</f>
        <v>0</v>
      </c>
      <c r="K197" s="155">
        <f>H197*'Darba algas UZŅEMŠANĀ_jaunais'!$BA$8</f>
        <v>0</v>
      </c>
      <c r="M197" s="139">
        <f>F197*'Darba algas UZŅEMŠANĀ_jaunais'!$BA$41</f>
        <v>0</v>
      </c>
      <c r="N197" s="139"/>
    </row>
    <row r="198" spans="1:14" x14ac:dyDescent="0.25">
      <c r="A198" s="2"/>
      <c r="B198" s="2"/>
      <c r="C198" s="2" t="s">
        <v>31</v>
      </c>
      <c r="D198" s="2" t="s">
        <v>31</v>
      </c>
      <c r="E198" s="2" t="s">
        <v>69</v>
      </c>
      <c r="F198" s="2">
        <v>1</v>
      </c>
      <c r="G198" s="2">
        <v>1</v>
      </c>
      <c r="H198" s="2">
        <v>1</v>
      </c>
      <c r="I198" s="155">
        <f>F198*'Darba algas UZŅEMŠANĀ_jaunais'!$BD$8</f>
        <v>236019.93968050004</v>
      </c>
      <c r="J198" s="155">
        <f>G198*'Darba algas UZŅEMŠANĀ_jaunais'!$BB$8</f>
        <v>82058.352937500007</v>
      </c>
      <c r="K198" s="155">
        <f>H198*'Darba algas UZŅEMŠANĀ_jaunais'!$BA$8</f>
        <v>17357.755127250002</v>
      </c>
      <c r="M198" s="139">
        <f>F198*'Darba algas UZŅEMŠANĀ_jaunais'!$BA$41</f>
        <v>141154.49500000002</v>
      </c>
      <c r="N198" s="139"/>
    </row>
    <row r="199" spans="1:14" x14ac:dyDescent="0.25">
      <c r="A199" s="2"/>
      <c r="B199" s="2"/>
      <c r="C199" s="2"/>
      <c r="D199" s="2"/>
      <c r="E199" s="2" t="s">
        <v>68</v>
      </c>
      <c r="F199" s="2">
        <v>1</v>
      </c>
      <c r="G199" s="2">
        <v>0</v>
      </c>
      <c r="H199" s="2">
        <v>0</v>
      </c>
      <c r="I199" s="155">
        <f>F199*'Darba algas UZŅEMŠANĀ_jaunais'!$BD$8</f>
        <v>236019.93968050004</v>
      </c>
      <c r="J199" s="155">
        <f>G199*'Darba algas UZŅEMŠANĀ_jaunais'!$BB$8</f>
        <v>0</v>
      </c>
      <c r="K199" s="155">
        <f>H199*'Darba algas UZŅEMŠANĀ_jaunais'!$BA$8</f>
        <v>0</v>
      </c>
      <c r="M199" s="139">
        <f>F199*'Darba algas UZŅEMŠANĀ_jaunais'!$BA$41</f>
        <v>141154.49500000002</v>
      </c>
      <c r="N199" s="139"/>
    </row>
    <row r="200" spans="1:14" x14ac:dyDescent="0.25">
      <c r="A200" s="2"/>
      <c r="B200" s="2"/>
      <c r="C200" s="2"/>
      <c r="D200" s="2"/>
      <c r="E200" s="2" t="s">
        <v>184</v>
      </c>
      <c r="F200" s="2">
        <v>0</v>
      </c>
      <c r="G200" s="2">
        <v>0</v>
      </c>
      <c r="H200" s="2">
        <v>0</v>
      </c>
      <c r="I200" s="155">
        <f>ROUND(F200*'Darba algas UZŅEMŠANĀ_jaunais'!$BD$9,0)</f>
        <v>0</v>
      </c>
      <c r="J200" s="155">
        <f>G200*'Darba algas UZŅEMŠANĀ_jaunais'!$BB$10</f>
        <v>0</v>
      </c>
      <c r="K200" s="155">
        <f>H200*'Darba algas UZŅEMŠANĀ_jaunais'!$BA$10</f>
        <v>0</v>
      </c>
      <c r="M200" s="139">
        <f>F200*'Darba algas UZŅEMŠANĀ_jaunais'!$BA$42</f>
        <v>0</v>
      </c>
      <c r="N200" s="139"/>
    </row>
    <row r="201" spans="1:14" x14ac:dyDescent="0.25">
      <c r="A201" s="2"/>
      <c r="B201" s="2"/>
      <c r="C201" s="2"/>
      <c r="D201" s="2"/>
      <c r="E201" s="2" t="s">
        <v>70</v>
      </c>
      <c r="F201" s="2">
        <v>2</v>
      </c>
      <c r="G201" s="2">
        <v>0</v>
      </c>
      <c r="H201" s="2">
        <v>0</v>
      </c>
      <c r="I201" s="155">
        <f>F201*'Darba algas UZŅEMŠANĀ_jaunais'!$BD$10</f>
        <v>277943.79910100001</v>
      </c>
      <c r="J201" s="155">
        <f>G201*'Darba algas UZŅEMŠANĀ_jaunais'!$BB$8</f>
        <v>0</v>
      </c>
      <c r="K201" s="155">
        <f>H201*'Darba algas UZŅEMŠANĀ_jaunais'!$BA$8</f>
        <v>0</v>
      </c>
      <c r="M201" s="139">
        <f>F201*'Darba algas UZŅEMŠANĀ_jaunais'!$BA$48</f>
        <v>176595.59000000003</v>
      </c>
      <c r="N201" s="139"/>
    </row>
    <row r="202" spans="1:14" x14ac:dyDescent="0.25">
      <c r="A202" s="2"/>
      <c r="B202" s="2"/>
      <c r="C202" s="171"/>
      <c r="D202" s="2"/>
      <c r="E202" s="2" t="s">
        <v>87</v>
      </c>
      <c r="F202" s="2">
        <v>0</v>
      </c>
      <c r="G202" s="2">
        <v>0</v>
      </c>
      <c r="H202" s="2">
        <v>0</v>
      </c>
      <c r="I202" s="155">
        <f>F202*'Darba algas UZŅEMŠANĀ_jaunais'!$BD$8</f>
        <v>0</v>
      </c>
      <c r="J202" s="155">
        <f>G202*'Darba algas UZŅEMŠANĀ_jaunais'!$BB$10</f>
        <v>0</v>
      </c>
      <c r="K202" s="155">
        <f>H202*'Darba algas UZŅEMŠANĀ_jaunais'!$BA$10</f>
        <v>0</v>
      </c>
      <c r="M202" s="139">
        <f>F202*'Darba algas UZŅEMŠANĀ_jaunais'!$BA$41</f>
        <v>0</v>
      </c>
      <c r="N202" s="139"/>
    </row>
    <row r="203" spans="1:14" x14ac:dyDescent="0.25">
      <c r="A203" s="2"/>
      <c r="B203" s="2"/>
      <c r="C203" s="171"/>
      <c r="D203" s="2"/>
      <c r="E203" s="2" t="s">
        <v>72</v>
      </c>
      <c r="F203" s="2">
        <v>8</v>
      </c>
      <c r="G203" s="2">
        <v>1</v>
      </c>
      <c r="H203" s="2">
        <v>1</v>
      </c>
      <c r="I203" s="155">
        <f>F203*'Darba algas UZŅEMŠANĀ_jaunais'!$BD$10</f>
        <v>1111775.196404</v>
      </c>
      <c r="J203" s="155">
        <f>G203*'Darba algas UZŅEMŠANĀ_jaunais'!$BB$10</f>
        <v>51330.789187500006</v>
      </c>
      <c r="K203" s="155">
        <f>H203*'Darba algas UZŅEMŠANĀ_jaunais'!$BA$10</f>
        <v>10857.971642250001</v>
      </c>
      <c r="M203" s="139">
        <f>F203*'Darba algas UZŅEMŠANĀ_jaunais'!$BA$48</f>
        <v>706382.3600000001</v>
      </c>
      <c r="N203" s="139"/>
    </row>
    <row r="204" spans="1:14" x14ac:dyDescent="0.25">
      <c r="A204" s="2"/>
      <c r="B204" s="2"/>
      <c r="D204" s="2"/>
      <c r="E204" s="2" t="s">
        <v>76</v>
      </c>
      <c r="F204" s="2">
        <v>2</v>
      </c>
      <c r="G204" s="2">
        <v>0</v>
      </c>
      <c r="H204" s="2">
        <v>0</v>
      </c>
      <c r="I204" s="155">
        <f>ROUND(F204*'Darba algas UZŅEMŠANĀ_jaunais'!$BD$10,0)</f>
        <v>277944</v>
      </c>
      <c r="J204" s="155">
        <f>ROUND(G204*'Darba algas UZŅEMŠANĀ_jaunais'!$BA$10,0)</f>
        <v>0</v>
      </c>
      <c r="K204" s="155">
        <f>ROUND(H204*'Darba algas UZŅEMŠANĀ_jaunais'!$BB$10,0)</f>
        <v>0</v>
      </c>
      <c r="M204" s="139">
        <f>F204*'Darba algas UZŅEMŠANĀ_jaunais'!$BA$48</f>
        <v>176595.59000000003</v>
      </c>
      <c r="N204" s="139"/>
    </row>
    <row r="205" spans="1:14" x14ac:dyDescent="0.25">
      <c r="B205" s="2"/>
      <c r="C205" s="171"/>
      <c r="D205" s="2"/>
      <c r="E205" s="2" t="s">
        <v>73</v>
      </c>
      <c r="F205" s="2">
        <v>8</v>
      </c>
      <c r="G205" s="2">
        <v>0</v>
      </c>
      <c r="H205" s="2">
        <v>0</v>
      </c>
      <c r="I205" s="155">
        <f>ROUND(F205*'Darba algas UZŅEMŠANĀ_jaunais'!$BD$11,0)</f>
        <v>738055</v>
      </c>
      <c r="J205" s="155">
        <f>ROUND(G205*'Darba algas UZŅEMŠANĀ_jaunais'!$BA$11,0)</f>
        <v>0</v>
      </c>
      <c r="K205" s="155">
        <f>ROUND(H205*'Darba algas UZŅEMŠANĀ_jaunais'!$BB$11,0)</f>
        <v>0</v>
      </c>
      <c r="M205" s="139">
        <f>F205*'Darba algas UZŅEMŠANĀ_jaunais'!$BA$55</f>
        <v>468933.8</v>
      </c>
      <c r="N205" s="139"/>
    </row>
    <row r="206" spans="1:14" ht="12" thickBot="1" x14ac:dyDescent="0.3">
      <c r="A206" s="2"/>
      <c r="B206" s="2"/>
      <c r="D206" s="176"/>
      <c r="E206" s="176" t="s">
        <v>77</v>
      </c>
      <c r="F206" s="176">
        <v>0</v>
      </c>
      <c r="G206" s="176">
        <v>0</v>
      </c>
      <c r="H206" s="176">
        <v>0</v>
      </c>
      <c r="I206" s="155">
        <f>ROUND(F206*'Darba algas UZŅEMŠANĀ_jaunais'!$BE$10,0)</f>
        <v>0</v>
      </c>
      <c r="M206" s="139">
        <f>F206*'Darba algas UZŅEMŠANĀ_jaunais'!$BA$48</f>
        <v>0</v>
      </c>
      <c r="N206" s="139"/>
    </row>
    <row r="207" spans="1:14" ht="12" thickBot="1" x14ac:dyDescent="0.3">
      <c r="A207" s="2"/>
      <c r="B207" s="2"/>
      <c r="D207" s="173" t="s">
        <v>179</v>
      </c>
      <c r="E207" s="174">
        <f>SUM(F207:H207)</f>
        <v>5225770.5853987504</v>
      </c>
      <c r="F207" s="175">
        <f>I189</f>
        <v>4765917.39231</v>
      </c>
      <c r="G207" s="175">
        <f>J189</f>
        <v>379564.20093750005</v>
      </c>
      <c r="H207" s="175">
        <f>K189</f>
        <v>80288.992151250015</v>
      </c>
      <c r="M207" s="139"/>
      <c r="N207" s="139"/>
    </row>
    <row r="208" spans="1:14" x14ac:dyDescent="0.25">
      <c r="A208" s="184" t="s">
        <v>91</v>
      </c>
      <c r="B208" s="5" t="s">
        <v>38</v>
      </c>
      <c r="C208" s="5" t="s">
        <v>7</v>
      </c>
      <c r="D208" s="5" t="s">
        <v>18</v>
      </c>
      <c r="E208" s="169" t="s">
        <v>80</v>
      </c>
      <c r="F208" s="5">
        <f>SUM(F209:F218,F220)</f>
        <v>3</v>
      </c>
      <c r="G208" s="5">
        <f>SUM(G209:G218,G220)</f>
        <v>3</v>
      </c>
      <c r="H208" s="5">
        <f>SUM(H209:H218,H220)</f>
        <v>3</v>
      </c>
      <c r="I208" s="170">
        <f>SUM(I209:I224)</f>
        <v>1201782.0206710938</v>
      </c>
      <c r="J208" s="170">
        <f t="shared" ref="J208:K208" si="11">SUM(J209:J224)</f>
        <v>297505.84800000006</v>
      </c>
      <c r="K208" s="170">
        <f t="shared" si="11"/>
        <v>62931.237024000009</v>
      </c>
      <c r="L208" s="153">
        <f>SUM(I208:K208)</f>
        <v>1562219.1056950937</v>
      </c>
      <c r="M208" s="139">
        <f>SUM(M209:M224)</f>
        <v>768257.1015625</v>
      </c>
      <c r="N208" s="139">
        <f>(F208-1)*'Darba algas UZŅEMŠANĀ_jaunais'!BE15</f>
        <v>27713.759999999998</v>
      </c>
    </row>
    <row r="209" spans="1:14" x14ac:dyDescent="0.25">
      <c r="A209" s="2"/>
      <c r="B209" s="2"/>
      <c r="C209" s="2" t="s">
        <v>9</v>
      </c>
      <c r="D209" s="2" t="s">
        <v>10</v>
      </c>
      <c r="E209" s="2" t="s">
        <v>64</v>
      </c>
      <c r="F209" s="2">
        <v>1</v>
      </c>
      <c r="G209" s="2">
        <v>1</v>
      </c>
      <c r="H209" s="2">
        <v>1</v>
      </c>
      <c r="I209" s="155">
        <f>F209*'Darba algas UZŅEMŠANĀ_jaunais'!$BD$8</f>
        <v>236019.93968050004</v>
      </c>
      <c r="J209" s="155">
        <f>G209*'Darba algas UZŅEMŠANĀ_jaunais'!$BB$8</f>
        <v>82058.352937500007</v>
      </c>
      <c r="K209" s="155">
        <f>H209*'Darba algas UZŅEMŠANĀ_jaunais'!$BA$8</f>
        <v>17357.755127250002</v>
      </c>
      <c r="M209" s="139">
        <f>F209*'Darba algas UZŅEMŠANĀ_jaunais'!$BA$41</f>
        <v>141154.49500000002</v>
      </c>
      <c r="N209" s="139"/>
    </row>
    <row r="210" spans="1:14" x14ac:dyDescent="0.25">
      <c r="A210" s="2"/>
      <c r="B210" s="2"/>
      <c r="C210" s="2" t="s">
        <v>11</v>
      </c>
      <c r="D210" s="2" t="s">
        <v>24</v>
      </c>
      <c r="E210" s="2" t="s">
        <v>82</v>
      </c>
      <c r="F210" s="2">
        <v>0</v>
      </c>
      <c r="G210" s="2">
        <v>0</v>
      </c>
      <c r="H210" s="2">
        <v>0</v>
      </c>
      <c r="I210" s="155">
        <f>F210*'Darba algas UZŅEMŠANĀ_jaunais'!$BD$8</f>
        <v>0</v>
      </c>
      <c r="J210" s="155">
        <f>G210*'Darba algas UZŅEMŠANĀ_jaunais'!$BB$8</f>
        <v>0</v>
      </c>
      <c r="K210" s="155">
        <f>H210*'Darba algas UZŅEMŠANĀ_jaunais'!$BA$8</f>
        <v>0</v>
      </c>
      <c r="M210" s="139">
        <f>F210*'Darba algas UZŅEMŠANĀ_jaunais'!$BA$41</f>
        <v>0</v>
      </c>
      <c r="N210" s="139"/>
    </row>
    <row r="211" spans="1:14" x14ac:dyDescent="0.25">
      <c r="A211" s="2"/>
      <c r="B211" s="2"/>
      <c r="C211" s="2" t="s">
        <v>37</v>
      </c>
      <c r="D211" s="2" t="s">
        <v>33</v>
      </c>
      <c r="E211" s="2" t="s">
        <v>65</v>
      </c>
      <c r="F211" s="2">
        <v>1</v>
      </c>
      <c r="G211" s="2">
        <v>0</v>
      </c>
      <c r="H211" s="2">
        <v>0</v>
      </c>
      <c r="I211" s="155">
        <f>F211*'Darba algas UZŅEMŠANĀ_jaunais'!$BD$8</f>
        <v>236019.93968050004</v>
      </c>
      <c r="J211" s="155">
        <f>G211*'Darba algas UZŅEMŠANĀ_jaunais'!$BB$8</f>
        <v>0</v>
      </c>
      <c r="K211" s="155">
        <f>H211*'Darba algas UZŅEMŠANĀ_jaunais'!$BA$8</f>
        <v>0</v>
      </c>
      <c r="M211" s="139">
        <f>F211*'Darba algas UZŅEMŠANĀ_jaunais'!$BA$41</f>
        <v>141154.49500000002</v>
      </c>
      <c r="N211" s="139"/>
    </row>
    <row r="212" spans="1:14" x14ac:dyDescent="0.25">
      <c r="A212" s="2"/>
      <c r="B212" s="2"/>
      <c r="C212" s="2" t="s">
        <v>13</v>
      </c>
      <c r="D212" s="2"/>
      <c r="E212" s="2" t="s">
        <v>83</v>
      </c>
      <c r="F212" s="2">
        <v>0</v>
      </c>
      <c r="G212" s="2">
        <v>0</v>
      </c>
      <c r="H212" s="2">
        <v>0</v>
      </c>
      <c r="I212" s="155">
        <f>F212*'Darba algas UZŅEMŠANĀ_jaunais'!$BD$8</f>
        <v>0</v>
      </c>
      <c r="J212" s="155">
        <f>G212*'Darba algas UZŅEMŠANĀ_jaunais'!$BB$8</f>
        <v>0</v>
      </c>
      <c r="K212" s="155">
        <f>H212*'Darba algas UZŅEMŠANĀ_jaunais'!$BA$8</f>
        <v>0</v>
      </c>
      <c r="M212" s="139">
        <f>F212*'Darba algas UZŅEMŠANĀ_jaunais'!$BA$41</f>
        <v>0</v>
      </c>
      <c r="N212" s="139"/>
    </row>
    <row r="213" spans="1:14" x14ac:dyDescent="0.25">
      <c r="A213" s="2"/>
      <c r="B213" s="2"/>
      <c r="C213" s="2"/>
      <c r="D213" s="2"/>
      <c r="E213" s="2" t="s">
        <v>66</v>
      </c>
      <c r="F213" s="2">
        <v>0</v>
      </c>
      <c r="G213" s="2">
        <v>0</v>
      </c>
      <c r="H213" s="2">
        <v>0</v>
      </c>
      <c r="I213" s="155">
        <f>F213*'Darba algas UZŅEMŠANĀ_jaunais'!$BD$8</f>
        <v>0</v>
      </c>
      <c r="J213" s="155">
        <f>G213*'Darba algas UZŅEMŠANĀ_jaunais'!$BB$8</f>
        <v>0</v>
      </c>
      <c r="K213" s="155">
        <f>H213*'Darba algas UZŅEMŠANĀ_jaunais'!$BA$8</f>
        <v>0</v>
      </c>
      <c r="M213" s="139">
        <f>F213*'Darba algas UZŅEMŠANĀ_jaunais'!$BA$41</f>
        <v>0</v>
      </c>
      <c r="N213" s="139"/>
    </row>
    <row r="214" spans="1:14" x14ac:dyDescent="0.25">
      <c r="A214" s="2"/>
      <c r="B214" s="2"/>
      <c r="C214" s="2"/>
      <c r="D214" s="2"/>
      <c r="E214" s="2" t="s">
        <v>67</v>
      </c>
      <c r="F214" s="2">
        <v>0</v>
      </c>
      <c r="G214" s="2">
        <v>0</v>
      </c>
      <c r="H214" s="2">
        <v>0</v>
      </c>
      <c r="I214" s="155">
        <f>F214*'Darba algas UZŅEMŠANĀ_jaunais'!$BD$8</f>
        <v>0</v>
      </c>
      <c r="J214" s="155">
        <f>G214*'Darba algas UZŅEMŠANĀ_jaunais'!$BB$8</f>
        <v>0</v>
      </c>
      <c r="K214" s="155">
        <f>H214*'Darba algas UZŅEMŠANĀ_jaunais'!$BA$8</f>
        <v>0</v>
      </c>
      <c r="M214" s="139">
        <f>F214*'Darba algas UZŅEMŠANĀ_jaunais'!$BA$41</f>
        <v>0</v>
      </c>
      <c r="N214" s="139"/>
    </row>
    <row r="215" spans="1:14" x14ac:dyDescent="0.25">
      <c r="A215" s="2"/>
      <c r="B215" s="2"/>
      <c r="C215" s="2"/>
      <c r="D215" s="2"/>
      <c r="E215" s="2" t="s">
        <v>74</v>
      </c>
      <c r="F215" s="2">
        <v>0</v>
      </c>
      <c r="G215" s="2">
        <v>1</v>
      </c>
      <c r="H215" s="2">
        <v>1</v>
      </c>
      <c r="I215" s="155">
        <f>F215*'Darba algas UZŅEMŠANĀ_jaunais'!$BD$8</f>
        <v>0</v>
      </c>
      <c r="J215" s="155">
        <f>G215*'Darba algas UZŅEMŠANĀ_jaunais'!$BB$8</f>
        <v>82058.352937500007</v>
      </c>
      <c r="K215" s="155">
        <f>H215*'Darba algas UZŅEMŠANĀ_jaunais'!$BA$8</f>
        <v>17357.755127250002</v>
      </c>
      <c r="M215" s="139">
        <f>F215*'Darba algas UZŅEMŠANĀ_jaunais'!$BA$41</f>
        <v>0</v>
      </c>
      <c r="N215" s="139"/>
    </row>
    <row r="216" spans="1:14" x14ac:dyDescent="0.25">
      <c r="A216" s="2"/>
      <c r="B216" s="2"/>
      <c r="C216" s="2"/>
      <c r="D216" s="2"/>
      <c r="E216" s="2" t="s">
        <v>75</v>
      </c>
      <c r="F216" s="2">
        <v>0</v>
      </c>
      <c r="G216" s="2">
        <v>0</v>
      </c>
      <c r="H216" s="2">
        <v>0</v>
      </c>
      <c r="I216" s="155">
        <f>F216*'Darba algas UZŅEMŠANĀ_jaunais'!$BD$8</f>
        <v>0</v>
      </c>
      <c r="J216" s="155">
        <f>G216*'Darba algas UZŅEMŠANĀ_jaunais'!$BB$8</f>
        <v>0</v>
      </c>
      <c r="K216" s="155">
        <f>H216*'Darba algas UZŅEMŠANĀ_jaunais'!$BA$8</f>
        <v>0</v>
      </c>
      <c r="M216" s="139">
        <f>F216*'Darba algas UZŅEMŠANĀ_jaunais'!$BA$41</f>
        <v>0</v>
      </c>
      <c r="N216" s="139"/>
    </row>
    <row r="217" spans="1:14" x14ac:dyDescent="0.25">
      <c r="A217" s="2"/>
      <c r="B217" s="2"/>
      <c r="C217" s="2"/>
      <c r="D217" s="2"/>
      <c r="E217" s="2" t="s">
        <v>69</v>
      </c>
      <c r="F217" s="2">
        <v>0</v>
      </c>
      <c r="G217" s="2">
        <v>1</v>
      </c>
      <c r="H217" s="2">
        <v>1</v>
      </c>
      <c r="I217" s="155">
        <f>F217*'Darba algas UZŅEMŠANĀ_jaunais'!$BD$8</f>
        <v>0</v>
      </c>
      <c r="J217" s="155">
        <f>G217*'Darba algas UZŅEMŠANĀ_jaunais'!$BB$8</f>
        <v>82058.352937500007</v>
      </c>
      <c r="K217" s="155">
        <f>H217*'Darba algas UZŅEMŠANĀ_jaunais'!$BA$8</f>
        <v>17357.755127250002</v>
      </c>
      <c r="M217" s="139">
        <f>F217*'Darba algas UZŅEMŠANĀ_jaunais'!$BA$41</f>
        <v>0</v>
      </c>
      <c r="N217" s="139"/>
    </row>
    <row r="218" spans="1:14" x14ac:dyDescent="0.25">
      <c r="A218" s="2"/>
      <c r="B218" s="2"/>
      <c r="C218" s="2"/>
      <c r="D218" s="2"/>
      <c r="E218" s="2" t="s">
        <v>184</v>
      </c>
      <c r="F218" s="197">
        <v>1</v>
      </c>
      <c r="G218" s="2">
        <v>0</v>
      </c>
      <c r="H218" s="2">
        <v>0</v>
      </c>
      <c r="I218" s="155">
        <f>F218*'Darba algas UZŅEMŠANĀ_jaunais'!$BD$9</f>
        <v>128312.71570359374</v>
      </c>
      <c r="J218" s="155">
        <f>G218*'Darba algas UZŅEMŠANĀ_jaunais'!$BB$8</f>
        <v>0</v>
      </c>
      <c r="K218" s="155">
        <f>H218*'Darba algas UZŅEMŠANĀ_jaunais'!$BA$8</f>
        <v>0</v>
      </c>
      <c r="M218" s="139">
        <f>F218*'Darba algas UZŅEMŠANĀ_jaunais'!$BA$42</f>
        <v>103821.27656249999</v>
      </c>
      <c r="N218" s="139"/>
    </row>
    <row r="219" spans="1:14" x14ac:dyDescent="0.25">
      <c r="A219" s="2"/>
      <c r="B219" s="2"/>
      <c r="C219" s="2"/>
      <c r="D219" s="2"/>
      <c r="E219" s="2" t="s">
        <v>70</v>
      </c>
      <c r="F219" s="2">
        <v>1</v>
      </c>
      <c r="G219" s="2">
        <v>0</v>
      </c>
      <c r="H219" s="2">
        <v>0</v>
      </c>
      <c r="I219" s="155">
        <f>F219*'Darba algas UZŅEMŠANĀ_jaunais'!$BD$10</f>
        <v>138971.89955050001</v>
      </c>
      <c r="J219" s="155">
        <f>G219*'Darba algas UZŅEMŠANĀ_jaunais'!$BB$10</f>
        <v>0</v>
      </c>
      <c r="K219" s="155">
        <f>H219*'Darba algas UZŅEMŠANĀ_jaunais'!$BA$10</f>
        <v>0</v>
      </c>
      <c r="M219" s="139">
        <f>F219*'Darba algas UZŅEMŠANĀ_jaunais'!$BA$48</f>
        <v>88297.795000000013</v>
      </c>
      <c r="N219" s="139"/>
    </row>
    <row r="220" spans="1:14" x14ac:dyDescent="0.25">
      <c r="A220" s="2"/>
      <c r="B220" s="2"/>
      <c r="C220" s="2"/>
      <c r="D220" s="2"/>
      <c r="E220" s="2" t="s">
        <v>87</v>
      </c>
      <c r="F220" s="2">
        <v>0</v>
      </c>
      <c r="G220" s="2">
        <v>0</v>
      </c>
      <c r="H220" s="2">
        <v>0</v>
      </c>
      <c r="I220" s="155">
        <f>F220*'Darba algas UZŅEMŠANĀ_jaunais'!$BD$8</f>
        <v>0</v>
      </c>
      <c r="J220" s="155">
        <f>G220*'Darba algas UZŅEMŠANĀ_jaunais'!$BB$8</f>
        <v>0</v>
      </c>
      <c r="K220" s="155">
        <f>H220*'Darba algas UZŅEMŠANĀ_jaunais'!$BA$8</f>
        <v>0</v>
      </c>
      <c r="M220" s="139">
        <f>F220*'Darba algas UZŅEMŠANĀ_jaunais'!$BA$41</f>
        <v>0</v>
      </c>
      <c r="N220" s="139"/>
    </row>
    <row r="221" spans="1:14" x14ac:dyDescent="0.25">
      <c r="A221" s="2"/>
      <c r="B221" s="2"/>
      <c r="C221" s="2"/>
      <c r="D221" s="2"/>
      <c r="E221" s="2" t="s">
        <v>72</v>
      </c>
      <c r="F221" s="2">
        <v>2</v>
      </c>
      <c r="G221" s="2">
        <v>1</v>
      </c>
      <c r="H221" s="2">
        <v>1</v>
      </c>
      <c r="I221" s="155">
        <f>F221*'Darba algas UZŅEMŠANĀ_jaunais'!$BD$10</f>
        <v>277943.79910100001</v>
      </c>
      <c r="J221" s="155">
        <f>G221*'Darba algas UZŅEMŠANĀ_jaunais'!$BB$10</f>
        <v>51330.789187500006</v>
      </c>
      <c r="K221" s="155">
        <f>H221*'Darba algas UZŅEMŠANĀ_jaunais'!$BA$10</f>
        <v>10857.971642250001</v>
      </c>
      <c r="M221" s="139">
        <f>F221*'Darba algas UZŅEMŠANĀ_jaunais'!$BA$48</f>
        <v>176595.59000000003</v>
      </c>
      <c r="N221" s="139"/>
    </row>
    <row r="222" spans="1:14" x14ac:dyDescent="0.25">
      <c r="A222" s="2"/>
      <c r="B222" s="2"/>
      <c r="C222" s="2"/>
      <c r="D222" s="2"/>
      <c r="E222" s="2" t="s">
        <v>76</v>
      </c>
      <c r="F222" s="2">
        <v>0</v>
      </c>
      <c r="G222" s="2">
        <v>0</v>
      </c>
      <c r="H222" s="2">
        <v>0</v>
      </c>
      <c r="I222" s="155">
        <f>F222*'Darba algas UZŅEMŠANĀ_jaunais'!$BD$10</f>
        <v>0</v>
      </c>
      <c r="J222" s="155">
        <f>G222*'Darba algas UZŅEMŠANĀ_jaunais'!$BB$10</f>
        <v>0</v>
      </c>
      <c r="K222" s="155">
        <f>H222*'Darba algas UZŅEMŠANĀ_jaunais'!$BA$10</f>
        <v>0</v>
      </c>
      <c r="M222" s="139">
        <f>F222*'Darba algas UZŅEMŠANĀ_jaunais'!$BA$48</f>
        <v>0</v>
      </c>
      <c r="N222" s="139"/>
    </row>
    <row r="223" spans="1:14" x14ac:dyDescent="0.25">
      <c r="A223" s="2"/>
      <c r="B223" s="2"/>
      <c r="C223" s="2"/>
      <c r="D223" s="2"/>
      <c r="E223" s="2" t="s">
        <v>73</v>
      </c>
      <c r="F223" s="2">
        <v>2</v>
      </c>
      <c r="G223" s="2">
        <v>0</v>
      </c>
      <c r="H223" s="2">
        <v>0</v>
      </c>
      <c r="I223" s="155">
        <f>F223*'Darba algas UZŅEMŠANĀ_jaunais'!$BD$11</f>
        <v>184513.72695499999</v>
      </c>
      <c r="J223" s="155">
        <f>ROUND(G223*'Darba algas UZŅEMŠANĀ_jaunais'!$BA$11,0)</f>
        <v>0</v>
      </c>
      <c r="K223" s="155">
        <f>ROUND(H223*'Darba algas UZŅEMŠANĀ_jaunais'!$BB$11,0)</f>
        <v>0</v>
      </c>
      <c r="M223" s="139">
        <f>F223*'Darba algas UZŅEMŠANĀ_jaunais'!$BA$55</f>
        <v>117233.45</v>
      </c>
      <c r="N223" s="139"/>
    </row>
    <row r="224" spans="1:14" ht="12" thickBot="1" x14ac:dyDescent="0.3">
      <c r="A224" s="194"/>
      <c r="B224" s="194"/>
      <c r="C224" s="194"/>
      <c r="D224" s="194"/>
      <c r="E224" s="176" t="s">
        <v>77</v>
      </c>
      <c r="F224" s="176">
        <v>0</v>
      </c>
      <c r="G224" s="176">
        <v>0</v>
      </c>
      <c r="H224" s="176">
        <v>0</v>
      </c>
      <c r="I224" s="155">
        <f>ROUND(F224*'Darba algas UZŅEMŠANĀ_jaunais'!$BE$10,0)</f>
        <v>0</v>
      </c>
      <c r="J224" s="155">
        <f>G224*'Darba algas UZŅEMŠANĀ_jaunais'!$BB$10</f>
        <v>0</v>
      </c>
      <c r="K224" s="155">
        <f>H224*'Darba algas UZŅEMŠANĀ_jaunais'!$BA$10</f>
        <v>0</v>
      </c>
      <c r="M224" s="139">
        <f>F224*'Darba algas UZŅEMŠANĀ_jaunais'!$BA$48</f>
        <v>0</v>
      </c>
      <c r="N224" s="139"/>
    </row>
    <row r="225" spans="1:14" ht="12" thickBot="1" x14ac:dyDescent="0.3">
      <c r="A225" s="2"/>
      <c r="B225" s="2"/>
      <c r="D225" s="173" t="s">
        <v>179</v>
      </c>
      <c r="E225" s="174">
        <f>SUM(F225:H225)</f>
        <v>1562219.1056950937</v>
      </c>
      <c r="F225" s="175">
        <f>I208</f>
        <v>1201782.0206710938</v>
      </c>
      <c r="G225" s="175">
        <f>J208</f>
        <v>297505.84800000006</v>
      </c>
      <c r="H225" s="175">
        <f>K208</f>
        <v>62931.237024000009</v>
      </c>
      <c r="M225" s="139"/>
      <c r="N225" s="139"/>
    </row>
    <row r="226" spans="1:14" ht="12" thickBot="1" x14ac:dyDescent="0.3">
      <c r="A226" s="394" t="s">
        <v>39</v>
      </c>
      <c r="B226" s="385"/>
      <c r="C226" s="385"/>
      <c r="D226" s="395"/>
      <c r="E226" s="195"/>
      <c r="F226" s="195">
        <v>0</v>
      </c>
      <c r="G226" s="196">
        <v>0</v>
      </c>
      <c r="H226" s="196">
        <v>0</v>
      </c>
      <c r="M226" s="139"/>
      <c r="N226" s="139"/>
    </row>
    <row r="227" spans="1:14" x14ac:dyDescent="0.25">
      <c r="A227" s="184" t="s">
        <v>92</v>
      </c>
      <c r="B227" s="5" t="s">
        <v>40</v>
      </c>
      <c r="C227" s="5" t="s">
        <v>7</v>
      </c>
      <c r="D227" s="187" t="s">
        <v>18</v>
      </c>
      <c r="E227" s="169" t="s">
        <v>80</v>
      </c>
      <c r="F227" s="5">
        <f>SUM(F228:F237,F239)</f>
        <v>10</v>
      </c>
      <c r="G227" s="5">
        <f>SUM(G228:G237,G239)</f>
        <v>6</v>
      </c>
      <c r="H227" s="5">
        <f>SUM(H228:H237,H239)</f>
        <v>6</v>
      </c>
      <c r="I227" s="170">
        <f>SUM(I228:I243)</f>
        <v>4626945.1996804997</v>
      </c>
      <c r="J227" s="170">
        <f t="shared" ref="J227:K227" si="12">SUM(J228:J243)</f>
        <v>543680.90681249998</v>
      </c>
      <c r="K227" s="170">
        <f t="shared" si="12"/>
        <v>115004.50240575001</v>
      </c>
      <c r="L227" s="153">
        <f>SUM(I227:K227)</f>
        <v>5285630.6088987496</v>
      </c>
      <c r="M227" s="139">
        <f>SUM(M228:M243)</f>
        <v>2851754.4950000001</v>
      </c>
      <c r="N227" s="139">
        <f>F227*'Darba algas UZŅEMŠANĀ_jaunais'!BE15</f>
        <v>138568.79999999999</v>
      </c>
    </row>
    <row r="228" spans="1:14" x14ac:dyDescent="0.25">
      <c r="A228" s="2"/>
      <c r="B228" s="2"/>
      <c r="C228" s="2" t="s">
        <v>9</v>
      </c>
      <c r="D228" s="2" t="s">
        <v>10</v>
      </c>
      <c r="E228" s="2" t="s">
        <v>64</v>
      </c>
      <c r="F228" s="2">
        <v>2</v>
      </c>
      <c r="G228" s="2">
        <v>1</v>
      </c>
      <c r="H228" s="2">
        <v>1</v>
      </c>
      <c r="I228" s="155">
        <f>F228*'Darba algas UZŅEMŠANĀ_jaunais'!$BD$8</f>
        <v>472039.87936100009</v>
      </c>
      <c r="J228" s="155">
        <f>G228*'Darba algas UZŅEMŠANĀ_jaunais'!$BB$8</f>
        <v>82058.352937500007</v>
      </c>
      <c r="K228" s="155">
        <f>H228*'Darba algas UZŅEMŠANĀ_jaunais'!$BA$8</f>
        <v>17357.755127250002</v>
      </c>
      <c r="M228" s="139">
        <f>F228*'Darba algas UZŅEMŠANĀ_jaunais'!$BA$41</f>
        <v>282308.99000000005</v>
      </c>
      <c r="N228" s="139"/>
    </row>
    <row r="229" spans="1:14" x14ac:dyDescent="0.25">
      <c r="A229" s="2"/>
      <c r="B229" s="2"/>
      <c r="C229" s="2" t="s">
        <v>11</v>
      </c>
      <c r="D229" s="188" t="s">
        <v>24</v>
      </c>
      <c r="E229" s="2" t="s">
        <v>82</v>
      </c>
      <c r="F229" s="2">
        <v>0</v>
      </c>
      <c r="G229" s="2">
        <v>0</v>
      </c>
      <c r="H229" s="2">
        <v>0</v>
      </c>
      <c r="I229" s="155">
        <f>F229*'Darba algas UZŅEMŠANĀ_jaunais'!$BD$8</f>
        <v>0</v>
      </c>
      <c r="J229" s="155">
        <f>G229*'Darba algas UZŅEMŠANĀ_jaunais'!$BB$8</f>
        <v>0</v>
      </c>
      <c r="K229" s="155">
        <f>H229*'Darba algas UZŅEMŠANĀ_jaunais'!$BA$8</f>
        <v>0</v>
      </c>
      <c r="M229" s="139">
        <f>F229*'Darba algas UZŅEMŠANĀ_jaunais'!$BA$41</f>
        <v>0</v>
      </c>
      <c r="N229" s="139"/>
    </row>
    <row r="230" spans="1:14" x14ac:dyDescent="0.25">
      <c r="A230" s="2"/>
      <c r="B230" s="2"/>
      <c r="C230" s="2" t="s">
        <v>37</v>
      </c>
      <c r="D230" s="188" t="s">
        <v>21</v>
      </c>
      <c r="E230" s="2" t="s">
        <v>65</v>
      </c>
      <c r="F230" s="2">
        <v>1</v>
      </c>
      <c r="G230" s="2">
        <v>1</v>
      </c>
      <c r="H230" s="2">
        <v>1</v>
      </c>
      <c r="I230" s="155">
        <f>F230*'Darba algas UZŅEMŠANĀ_jaunais'!$BD$8</f>
        <v>236019.93968050004</v>
      </c>
      <c r="J230" s="155">
        <f>G230*'Darba algas UZŅEMŠANĀ_jaunais'!$BB$8</f>
        <v>82058.352937500007</v>
      </c>
      <c r="K230" s="155">
        <f>H230*'Darba algas UZŅEMŠANĀ_jaunais'!$BA$8</f>
        <v>17357.755127250002</v>
      </c>
      <c r="M230" s="139">
        <f>F230*'Darba algas UZŅEMŠANĀ_jaunais'!$BA$41</f>
        <v>141154.49500000002</v>
      </c>
      <c r="N230" s="139"/>
    </row>
    <row r="231" spans="1:14" x14ac:dyDescent="0.25">
      <c r="A231" s="2"/>
      <c r="B231" s="2"/>
      <c r="C231" s="2" t="s">
        <v>12</v>
      </c>
      <c r="D231" s="188" t="s">
        <v>25</v>
      </c>
      <c r="E231" s="2" t="s">
        <v>83</v>
      </c>
      <c r="F231" s="2">
        <v>1</v>
      </c>
      <c r="G231" s="2">
        <v>2</v>
      </c>
      <c r="H231" s="2">
        <v>2</v>
      </c>
      <c r="I231" s="155">
        <f>F231*'Darba algas UZŅEMŠANĀ_jaunais'!$BD$8</f>
        <v>236019.93968050004</v>
      </c>
      <c r="J231" s="155">
        <f>G231*'Darba algas UZŅEMŠANĀ_jaunais'!$BB$8</f>
        <v>164116.70587500001</v>
      </c>
      <c r="K231" s="155">
        <f>H231*'Darba algas UZŅEMŠANĀ_jaunais'!$BA$8</f>
        <v>34715.510254500005</v>
      </c>
      <c r="M231" s="139">
        <f>F231*'Darba algas UZŅEMŠANĀ_jaunais'!$BA$41</f>
        <v>141154.49500000002</v>
      </c>
      <c r="N231" s="139"/>
    </row>
    <row r="232" spans="1:14" x14ac:dyDescent="0.25">
      <c r="A232" s="2"/>
      <c r="B232" s="2"/>
      <c r="C232" s="3" t="s">
        <v>26</v>
      </c>
      <c r="D232" s="188" t="s">
        <v>26</v>
      </c>
      <c r="E232" s="2" t="s">
        <v>66</v>
      </c>
      <c r="F232" s="2">
        <v>1</v>
      </c>
      <c r="G232" s="2">
        <v>0</v>
      </c>
      <c r="H232" s="2">
        <v>0</v>
      </c>
      <c r="I232" s="155">
        <f>F232*'Darba algas UZŅEMŠANĀ_jaunais'!$BD$8</f>
        <v>236019.93968050004</v>
      </c>
      <c r="J232" s="155">
        <f>G232*'Darba algas UZŅEMŠANĀ_jaunais'!$BB$8</f>
        <v>0</v>
      </c>
      <c r="K232" s="155">
        <f>H232*'Darba algas UZŅEMŠANĀ_jaunais'!$BA$8</f>
        <v>0</v>
      </c>
      <c r="M232" s="139">
        <f>F232*'Darba algas UZŅEMŠANĀ_jaunais'!$BA$41</f>
        <v>141154.49500000002</v>
      </c>
      <c r="N232" s="139"/>
    </row>
    <row r="233" spans="1:14" x14ac:dyDescent="0.25">
      <c r="A233" s="2"/>
      <c r="B233" s="2"/>
      <c r="C233" s="2" t="s">
        <v>14</v>
      </c>
      <c r="D233" s="188" t="s">
        <v>14</v>
      </c>
      <c r="E233" s="2" t="s">
        <v>67</v>
      </c>
      <c r="F233" s="2">
        <v>1</v>
      </c>
      <c r="G233" s="2">
        <v>0</v>
      </c>
      <c r="H233" s="2">
        <v>0</v>
      </c>
      <c r="I233" s="155">
        <f>F233*'Darba algas UZŅEMŠANĀ_jaunais'!$BD$8</f>
        <v>236019.93968050004</v>
      </c>
      <c r="J233" s="155">
        <f>G233*'Darba algas UZŅEMŠANĀ_jaunais'!$BB$8</f>
        <v>0</v>
      </c>
      <c r="K233" s="155">
        <f>H233*'Darba algas UZŅEMŠANĀ_jaunais'!$BA$8</f>
        <v>0</v>
      </c>
      <c r="M233" s="139">
        <f>F233*'Darba algas UZŅEMŠANĀ_jaunais'!$BA$41</f>
        <v>141154.49500000002</v>
      </c>
      <c r="N233" s="139"/>
    </row>
    <row r="234" spans="1:14" x14ac:dyDescent="0.25">
      <c r="A234" s="2"/>
      <c r="C234" s="2" t="s">
        <v>13</v>
      </c>
      <c r="D234" s="2" t="s">
        <v>13</v>
      </c>
      <c r="E234" s="2" t="s">
        <v>74</v>
      </c>
      <c r="F234" s="2">
        <v>1</v>
      </c>
      <c r="G234" s="2">
        <v>0</v>
      </c>
      <c r="H234" s="2">
        <v>0</v>
      </c>
      <c r="I234" s="155">
        <f>F234*'Darba algas UZŅEMŠANĀ_jaunais'!$BD$8</f>
        <v>236019.93968050004</v>
      </c>
      <c r="J234" s="155">
        <f>G234*'Darba algas UZŅEMŠANĀ_jaunais'!$BB$8</f>
        <v>0</v>
      </c>
      <c r="K234" s="155">
        <f>H234*'Darba algas UZŅEMŠANĀ_jaunais'!$BA$8</f>
        <v>0</v>
      </c>
      <c r="M234" s="139">
        <f>F234*'Darba algas UZŅEMŠANĀ_jaunais'!$BA$41</f>
        <v>141154.49500000002</v>
      </c>
      <c r="N234" s="139"/>
    </row>
    <row r="235" spans="1:14" x14ac:dyDescent="0.25">
      <c r="A235" s="2"/>
      <c r="C235" s="2" t="s">
        <v>15</v>
      </c>
      <c r="D235" s="2" t="s">
        <v>15</v>
      </c>
      <c r="E235" s="2" t="s">
        <v>75</v>
      </c>
      <c r="F235" s="2">
        <v>0</v>
      </c>
      <c r="G235" s="2">
        <v>1</v>
      </c>
      <c r="H235" s="2">
        <v>1</v>
      </c>
      <c r="I235" s="155">
        <f>F235*'Darba algas UZŅEMŠANĀ_jaunais'!$BD$8</f>
        <v>0</v>
      </c>
      <c r="J235" s="155">
        <f>G235*'Darba algas UZŅEMŠANĀ_jaunais'!$BB$8</f>
        <v>82058.352937500007</v>
      </c>
      <c r="K235" s="155">
        <f>H235*'Darba algas UZŅEMŠANĀ_jaunais'!$BA$8</f>
        <v>17357.755127250002</v>
      </c>
      <c r="M235" s="139">
        <f>F235*'Darba algas UZŅEMŠANĀ_jaunais'!$BA$41</f>
        <v>0</v>
      </c>
      <c r="N235" s="139"/>
    </row>
    <row r="236" spans="1:14" x14ac:dyDescent="0.25">
      <c r="A236" s="2"/>
      <c r="C236" s="2" t="s">
        <v>31</v>
      </c>
      <c r="D236" s="2" t="s">
        <v>31</v>
      </c>
      <c r="E236" s="2" t="s">
        <v>69</v>
      </c>
      <c r="F236" s="2">
        <v>1</v>
      </c>
      <c r="G236" s="2">
        <v>1</v>
      </c>
      <c r="H236" s="2">
        <v>1</v>
      </c>
      <c r="I236" s="155">
        <f>F236*'Darba algas UZŅEMŠANĀ_jaunais'!$BD$8</f>
        <v>236019.93968050004</v>
      </c>
      <c r="J236" s="155">
        <f>G236*'Darba algas UZŅEMŠANĀ_jaunais'!$BB$8</f>
        <v>82058.352937500007</v>
      </c>
      <c r="K236" s="155">
        <f>H236*'Darba algas UZŅEMŠANĀ_jaunais'!$BA$8</f>
        <v>17357.755127250002</v>
      </c>
      <c r="M236" s="139">
        <f>F236*'Darba algas UZŅEMŠANĀ_jaunais'!$BA$41</f>
        <v>141154.49500000002</v>
      </c>
      <c r="N236" s="139"/>
    </row>
    <row r="237" spans="1:14" x14ac:dyDescent="0.25">
      <c r="A237" s="2"/>
      <c r="C237" s="2"/>
      <c r="D237" s="2"/>
      <c r="E237" s="2" t="s">
        <v>68</v>
      </c>
      <c r="F237" s="2">
        <v>1</v>
      </c>
      <c r="G237" s="2">
        <v>0</v>
      </c>
      <c r="H237" s="2">
        <v>0</v>
      </c>
      <c r="I237" s="155">
        <f>F237*'Darba algas UZŅEMŠANĀ_jaunais'!$BD$8</f>
        <v>236019.93968050004</v>
      </c>
      <c r="J237" s="155">
        <f>G237*'Darba algas UZŅEMŠANĀ_jaunais'!$BB$8</f>
        <v>0</v>
      </c>
      <c r="K237" s="155">
        <f>H237*'Darba algas UZŅEMŠANĀ_jaunais'!$BA$8</f>
        <v>0</v>
      </c>
      <c r="M237" s="139">
        <f>F237*'Darba algas UZŅEMŠANĀ_jaunais'!$BA$41</f>
        <v>141154.49500000002</v>
      </c>
      <c r="N237" s="139"/>
    </row>
    <row r="238" spans="1:14" x14ac:dyDescent="0.25">
      <c r="A238" s="2"/>
      <c r="C238" s="2"/>
      <c r="D238" s="2"/>
      <c r="E238" s="2" t="s">
        <v>70</v>
      </c>
      <c r="F238" s="2">
        <v>1</v>
      </c>
      <c r="G238" s="2">
        <v>0</v>
      </c>
      <c r="H238" s="2">
        <v>0</v>
      </c>
      <c r="I238" s="155">
        <f>F238*'Darba algas UZŅEMŠANĀ_jaunais'!$BD$10</f>
        <v>138971.89955050001</v>
      </c>
      <c r="J238" s="155">
        <f>G238*'Darba algas UZŅEMŠANĀ_jaunais'!$BB$10</f>
        <v>0</v>
      </c>
      <c r="K238" s="155">
        <f>H238*'Darba algas UZŅEMŠANĀ_jaunais'!$BA$10</f>
        <v>0</v>
      </c>
      <c r="M238" s="139">
        <f>F238*'Darba algas UZŅEMŠANĀ_jaunais'!$BA$48</f>
        <v>88297.795000000013</v>
      </c>
      <c r="N238" s="139"/>
    </row>
    <row r="239" spans="1:14" x14ac:dyDescent="0.25">
      <c r="A239" s="2"/>
      <c r="C239" s="2"/>
      <c r="D239" s="2"/>
      <c r="E239" s="2" t="s">
        <v>87</v>
      </c>
      <c r="F239" s="2">
        <v>1</v>
      </c>
      <c r="G239" s="2">
        <v>0</v>
      </c>
      <c r="H239" s="2">
        <v>0</v>
      </c>
      <c r="I239" s="155">
        <f>F239*'Darba algas UZŅEMŠANĀ_jaunais'!$BD$8</f>
        <v>236019.93968050004</v>
      </c>
      <c r="J239" s="155">
        <f>G239*'Darba algas UZŅEMŠANĀ_jaunais'!$BB$8</f>
        <v>0</v>
      </c>
      <c r="K239" s="155">
        <f>H239*'Darba algas UZŅEMŠANĀ_jaunais'!$BA$8</f>
        <v>0</v>
      </c>
      <c r="M239" s="139">
        <f>F239*'Darba algas UZŅEMŠANĀ_jaunais'!$BA$41</f>
        <v>141154.49500000002</v>
      </c>
      <c r="N239" s="139"/>
    </row>
    <row r="240" spans="1:14" x14ac:dyDescent="0.25">
      <c r="A240" s="2"/>
      <c r="C240" s="2"/>
      <c r="D240" s="2"/>
      <c r="E240" s="2" t="s">
        <v>72</v>
      </c>
      <c r="F240" s="2">
        <v>8</v>
      </c>
      <c r="G240" s="2">
        <v>1</v>
      </c>
      <c r="H240" s="2">
        <v>1</v>
      </c>
      <c r="I240" s="155">
        <f>F240*'Darba algas UZŅEMŠANĀ_jaunais'!$BD$10</f>
        <v>1111775.196404</v>
      </c>
      <c r="J240" s="155">
        <f>G240*'Darba algas UZŅEMŠANĀ_jaunais'!$BB$10</f>
        <v>51330.789187500006</v>
      </c>
      <c r="K240" s="155">
        <f>H240*'Darba algas UZŅEMŠANĀ_jaunais'!$BA$10</f>
        <v>10857.971642250001</v>
      </c>
      <c r="M240" s="139">
        <f>F240*'Darba algas UZŅEMŠANĀ_jaunais'!$BA$48</f>
        <v>706382.3600000001</v>
      </c>
      <c r="N240" s="139"/>
    </row>
    <row r="241" spans="1:14" x14ac:dyDescent="0.25">
      <c r="A241" s="2"/>
      <c r="C241" s="2"/>
      <c r="D241" s="2"/>
      <c r="E241" s="2" t="s">
        <v>76</v>
      </c>
      <c r="F241" s="2">
        <v>2</v>
      </c>
      <c r="G241" s="2">
        <v>0</v>
      </c>
      <c r="H241" s="2">
        <v>0</v>
      </c>
      <c r="I241" s="155">
        <f>F241*'Darba algas UZŅEMŠANĀ_jaunais'!$BD$10</f>
        <v>277943.79910100001</v>
      </c>
      <c r="J241" s="155">
        <f>G241*'Darba algas UZŅEMŠANĀ_jaunais'!$BB$10</f>
        <v>0</v>
      </c>
      <c r="K241" s="155">
        <f>H241*'Darba algas UZŅEMŠANĀ_jaunais'!$BA$10</f>
        <v>0</v>
      </c>
      <c r="M241" s="139">
        <f>F241*'Darba algas UZŅEMŠANĀ_jaunais'!$BA$48</f>
        <v>176595.59000000003</v>
      </c>
      <c r="N241" s="139"/>
    </row>
    <row r="242" spans="1:14" x14ac:dyDescent="0.25">
      <c r="A242" s="2"/>
      <c r="C242" s="2"/>
      <c r="D242" s="2"/>
      <c r="E242" s="2" t="s">
        <v>73</v>
      </c>
      <c r="F242" s="2">
        <v>8</v>
      </c>
      <c r="G242" s="2">
        <v>0</v>
      </c>
      <c r="H242" s="2">
        <v>0</v>
      </c>
      <c r="I242" s="155">
        <f>F242*'Darba algas UZŅEMŠANĀ_jaunais'!$BD$11</f>
        <v>738054.90781999996</v>
      </c>
      <c r="J242" s="155">
        <f>ROUND(G242*'Darba algas UZŅEMŠANĀ_jaunais'!$BA$11,0)</f>
        <v>0</v>
      </c>
      <c r="K242" s="155">
        <f>ROUND(H242*'Darba algas UZŅEMŠANĀ_jaunais'!$BB$11,0)</f>
        <v>0</v>
      </c>
      <c r="M242" s="139">
        <f>F242*'Darba algas UZŅEMŠANĀ_jaunais'!$BA$55</f>
        <v>468933.8</v>
      </c>
      <c r="N242" s="139"/>
    </row>
    <row r="243" spans="1:14" ht="12" thickBot="1" x14ac:dyDescent="0.3">
      <c r="A243" s="2"/>
      <c r="B243" s="2"/>
      <c r="C243" s="176"/>
      <c r="E243" s="176" t="s">
        <v>77</v>
      </c>
      <c r="F243" s="176">
        <v>0</v>
      </c>
      <c r="G243" s="176">
        <v>0</v>
      </c>
      <c r="H243" s="176">
        <v>0</v>
      </c>
      <c r="I243" s="155">
        <f>ROUND(F243*'Darba algas UZŅEMŠANĀ_jaunais'!$BE$10,0)</f>
        <v>0</v>
      </c>
      <c r="J243" s="155">
        <f>G243*'Darba algas UZŅEMŠANĀ_jaunais'!$BB$10</f>
        <v>0</v>
      </c>
      <c r="K243" s="155">
        <f>H243*'Darba algas UZŅEMŠANĀ_jaunais'!$BA$10</f>
        <v>0</v>
      </c>
      <c r="M243" s="139">
        <f>F243*'Darba algas UZŅEMŠANĀ_jaunais'!$BA$48</f>
        <v>0</v>
      </c>
      <c r="N243" s="139"/>
    </row>
    <row r="244" spans="1:14" ht="12" thickBot="1" x14ac:dyDescent="0.3">
      <c r="A244" s="2"/>
      <c r="B244" s="2"/>
      <c r="D244" s="173" t="s">
        <v>179</v>
      </c>
      <c r="E244" s="174">
        <f>SUM(F244:H244)</f>
        <v>5285630.6088987496</v>
      </c>
      <c r="F244" s="175">
        <f>I227</f>
        <v>4626945.1996804997</v>
      </c>
      <c r="G244" s="175">
        <f>J227</f>
        <v>543680.90681249998</v>
      </c>
      <c r="H244" s="175">
        <f>K227</f>
        <v>115004.50240575001</v>
      </c>
      <c r="M244" s="139"/>
      <c r="N244" s="139"/>
    </row>
    <row r="245" spans="1:14" x14ac:dyDescent="0.25">
      <c r="A245" s="184" t="s">
        <v>91</v>
      </c>
      <c r="B245" s="5" t="s">
        <v>41</v>
      </c>
      <c r="C245" s="5" t="s">
        <v>7</v>
      </c>
      <c r="D245" s="5" t="s">
        <v>18</v>
      </c>
      <c r="E245" s="169" t="s">
        <v>80</v>
      </c>
      <c r="F245" s="5">
        <f>SUM(F246:F255,F257)</f>
        <v>3</v>
      </c>
      <c r="G245" s="5">
        <f>SUM(G246:G255,G257)</f>
        <v>1</v>
      </c>
      <c r="H245" s="5">
        <f>SUM(H246:H255,H257)</f>
        <v>1</v>
      </c>
      <c r="I245" s="170">
        <f>SUM(I246:I261)</f>
        <v>1201782.0206710938</v>
      </c>
      <c r="J245" s="170">
        <f t="shared" ref="J245:K245" si="13">SUM(J246:J261)</f>
        <v>133389.14212500001</v>
      </c>
      <c r="K245" s="170">
        <f t="shared" si="13"/>
        <v>28215.726769500005</v>
      </c>
      <c r="L245" s="153">
        <f>SUM(I245:K245)</f>
        <v>1363386.8895655938</v>
      </c>
      <c r="M245" s="139">
        <f>SUM(M246:M261)</f>
        <v>768257.1015625</v>
      </c>
      <c r="N245" s="139">
        <f>(F245-1)*'Darba algas UZŅEMŠANĀ_jaunais'!BE15</f>
        <v>27713.759999999998</v>
      </c>
    </row>
    <row r="246" spans="1:14" x14ac:dyDescent="0.25">
      <c r="A246" s="2"/>
      <c r="B246" s="2"/>
      <c r="C246" s="2" t="s">
        <v>9</v>
      </c>
      <c r="D246" s="2" t="s">
        <v>10</v>
      </c>
      <c r="E246" s="2" t="s">
        <v>64</v>
      </c>
      <c r="F246" s="2">
        <v>1</v>
      </c>
      <c r="G246" s="2">
        <v>0</v>
      </c>
      <c r="H246" s="2">
        <v>0</v>
      </c>
      <c r="I246" s="155">
        <f>F246*'Darba algas UZŅEMŠANĀ_jaunais'!$BD$8</f>
        <v>236019.93968050004</v>
      </c>
      <c r="J246" s="155">
        <f>G246*'Darba algas UZŅEMŠANĀ_jaunais'!$BB$8</f>
        <v>0</v>
      </c>
      <c r="K246" s="155">
        <f>H246*'Darba algas UZŅEMŠANĀ_jaunais'!$BA$8</f>
        <v>0</v>
      </c>
      <c r="M246" s="139">
        <f>F246*'Darba algas UZŅEMŠANĀ_jaunais'!$BA$41</f>
        <v>141154.49500000002</v>
      </c>
      <c r="N246" s="139"/>
    </row>
    <row r="247" spans="1:14" x14ac:dyDescent="0.25">
      <c r="A247" s="2"/>
      <c r="B247" s="2"/>
      <c r="C247" s="2" t="s">
        <v>11</v>
      </c>
      <c r="D247" s="2" t="s">
        <v>24</v>
      </c>
      <c r="E247" s="2" t="s">
        <v>82</v>
      </c>
      <c r="F247" s="2">
        <v>0</v>
      </c>
      <c r="G247" s="2">
        <v>0</v>
      </c>
      <c r="H247" s="2">
        <v>0</v>
      </c>
      <c r="I247" s="155">
        <f>F247*'Darba algas UZŅEMŠANĀ_jaunais'!$BD$8</f>
        <v>0</v>
      </c>
      <c r="J247" s="155">
        <f>G247*'Darba algas UZŅEMŠANĀ_jaunais'!$BB$8</f>
        <v>0</v>
      </c>
      <c r="K247" s="155">
        <f>H247*'Darba algas UZŅEMŠANĀ_jaunais'!$BA$8</f>
        <v>0</v>
      </c>
      <c r="M247" s="139">
        <f>F247*'Darba algas UZŅEMŠANĀ_jaunais'!$BA$41</f>
        <v>0</v>
      </c>
      <c r="N247" s="139"/>
    </row>
    <row r="248" spans="1:14" x14ac:dyDescent="0.25">
      <c r="A248" s="2"/>
      <c r="B248" s="2"/>
      <c r="C248" s="2" t="s">
        <v>37</v>
      </c>
      <c r="D248" s="2"/>
      <c r="E248" s="2" t="s">
        <v>65</v>
      </c>
      <c r="F248" s="197">
        <v>1</v>
      </c>
      <c r="G248" s="2">
        <v>0</v>
      </c>
      <c r="H248" s="2">
        <v>0</v>
      </c>
      <c r="I248" s="155">
        <f>F248*'Darba algas UZŅEMŠANĀ_jaunais'!$BD$8</f>
        <v>236019.93968050004</v>
      </c>
      <c r="J248" s="155">
        <f>G248*'Darba algas UZŅEMŠANĀ_jaunais'!$BB$8</f>
        <v>0</v>
      </c>
      <c r="K248" s="155">
        <f>H248*'Darba algas UZŅEMŠANĀ_jaunais'!$BA$8</f>
        <v>0</v>
      </c>
      <c r="M248" s="139">
        <f>F248*'Darba algas UZŅEMŠANĀ_jaunais'!$BA$41</f>
        <v>141154.49500000002</v>
      </c>
      <c r="N248" s="139"/>
    </row>
    <row r="249" spans="1:14" x14ac:dyDescent="0.25">
      <c r="A249" s="2"/>
      <c r="B249" s="2"/>
      <c r="C249" s="2" t="s">
        <v>12</v>
      </c>
      <c r="D249" s="2"/>
      <c r="E249" s="2" t="s">
        <v>83</v>
      </c>
      <c r="F249" s="2">
        <v>0</v>
      </c>
      <c r="G249" s="2">
        <v>0</v>
      </c>
      <c r="H249" s="2">
        <v>0</v>
      </c>
      <c r="I249" s="155">
        <f>F249*'Darba algas UZŅEMŠANĀ_jaunais'!$BD$8</f>
        <v>0</v>
      </c>
      <c r="J249" s="155">
        <f>G249*'Darba algas UZŅEMŠANĀ_jaunais'!$BB$8</f>
        <v>0</v>
      </c>
      <c r="K249" s="155">
        <f>H249*'Darba algas UZŅEMŠANĀ_jaunais'!$BA$8</f>
        <v>0</v>
      </c>
      <c r="M249" s="139">
        <f>F249*'Darba algas UZŅEMŠANĀ_jaunais'!$BA$41</f>
        <v>0</v>
      </c>
      <c r="N249" s="139"/>
    </row>
    <row r="250" spans="1:14" x14ac:dyDescent="0.25">
      <c r="A250" s="2"/>
      <c r="B250" s="2"/>
      <c r="C250" s="2" t="s">
        <v>13</v>
      </c>
      <c r="D250" s="2"/>
      <c r="E250" s="2" t="s">
        <v>66</v>
      </c>
      <c r="F250" s="2">
        <v>0</v>
      </c>
      <c r="G250" s="2">
        <v>0</v>
      </c>
      <c r="H250" s="2">
        <v>0</v>
      </c>
      <c r="I250" s="155">
        <f>F250*'Darba algas UZŅEMŠANĀ_jaunais'!$BD$8</f>
        <v>0</v>
      </c>
      <c r="J250" s="155">
        <f>G250*'Darba algas UZŅEMŠANĀ_jaunais'!$BB$8</f>
        <v>0</v>
      </c>
      <c r="K250" s="155">
        <f>H250*'Darba algas UZŅEMŠANĀ_jaunais'!$BA$8</f>
        <v>0</v>
      </c>
      <c r="M250" s="139">
        <f>F250*'Darba algas UZŅEMŠANĀ_jaunais'!$BA$41</f>
        <v>0</v>
      </c>
      <c r="N250" s="139"/>
    </row>
    <row r="251" spans="1:14" x14ac:dyDescent="0.25">
      <c r="A251" s="2"/>
      <c r="B251" s="2"/>
      <c r="C251" s="2"/>
      <c r="D251" s="2"/>
      <c r="E251" s="2" t="s">
        <v>67</v>
      </c>
      <c r="F251" s="2">
        <v>0</v>
      </c>
      <c r="G251" s="2">
        <v>0</v>
      </c>
      <c r="H251" s="2">
        <v>0</v>
      </c>
      <c r="I251" s="155">
        <f>F251*'Darba algas UZŅEMŠANĀ_jaunais'!$BD$8</f>
        <v>0</v>
      </c>
      <c r="J251" s="155">
        <f>G251*'Darba algas UZŅEMŠANĀ_jaunais'!$BB$8</f>
        <v>0</v>
      </c>
      <c r="K251" s="155">
        <f>H251*'Darba algas UZŅEMŠANĀ_jaunais'!$BA$8</f>
        <v>0</v>
      </c>
      <c r="M251" s="139">
        <f>F251*'Darba algas UZŅEMŠANĀ_jaunais'!$BA$41</f>
        <v>0</v>
      </c>
      <c r="N251" s="139"/>
    </row>
    <row r="252" spans="1:14" x14ac:dyDescent="0.25">
      <c r="A252" s="2"/>
      <c r="B252" s="2"/>
      <c r="C252" s="2"/>
      <c r="D252" s="2"/>
      <c r="E252" s="2" t="s">
        <v>74</v>
      </c>
      <c r="F252" s="2">
        <v>0</v>
      </c>
      <c r="G252" s="2">
        <v>0</v>
      </c>
      <c r="H252" s="2">
        <v>0</v>
      </c>
      <c r="I252" s="155">
        <f>F252*'Darba algas UZŅEMŠANĀ_jaunais'!$BD$8</f>
        <v>0</v>
      </c>
      <c r="J252" s="155">
        <f>G252*'Darba algas UZŅEMŠANĀ_jaunais'!$BB$8</f>
        <v>0</v>
      </c>
      <c r="K252" s="155">
        <f>H252*'Darba algas UZŅEMŠANĀ_jaunais'!$BA$8</f>
        <v>0</v>
      </c>
      <c r="M252" s="139">
        <f>F252*'Darba algas UZŅEMŠANĀ_jaunais'!$BA$41</f>
        <v>0</v>
      </c>
      <c r="N252" s="139"/>
    </row>
    <row r="253" spans="1:14" x14ac:dyDescent="0.25">
      <c r="A253" s="2"/>
      <c r="B253" s="2"/>
      <c r="C253" s="2"/>
      <c r="D253" s="2"/>
      <c r="E253" s="2" t="s">
        <v>75</v>
      </c>
      <c r="F253" s="2">
        <v>0</v>
      </c>
      <c r="G253" s="2">
        <v>0</v>
      </c>
      <c r="H253" s="2">
        <v>0</v>
      </c>
      <c r="I253" s="155">
        <f>F253*'Darba algas UZŅEMŠANĀ_jaunais'!$BD$8</f>
        <v>0</v>
      </c>
      <c r="J253" s="155">
        <f>G253*'Darba algas UZŅEMŠANĀ_jaunais'!$BB$8</f>
        <v>0</v>
      </c>
      <c r="K253" s="155">
        <f>H253*'Darba algas UZŅEMŠANĀ_jaunais'!$BA$8</f>
        <v>0</v>
      </c>
      <c r="M253" s="139">
        <f>F253*'Darba algas UZŅEMŠANĀ_jaunais'!$BA$41</f>
        <v>0</v>
      </c>
      <c r="N253" s="139"/>
    </row>
    <row r="254" spans="1:14" x14ac:dyDescent="0.25">
      <c r="A254" s="2"/>
      <c r="B254" s="2"/>
      <c r="C254" s="2"/>
      <c r="D254" s="2"/>
      <c r="E254" s="2" t="s">
        <v>69</v>
      </c>
      <c r="F254" s="2">
        <v>0</v>
      </c>
      <c r="G254" s="2">
        <v>1</v>
      </c>
      <c r="H254" s="2">
        <v>1</v>
      </c>
      <c r="I254" s="155">
        <f>F254*'Darba algas UZŅEMŠANĀ_jaunais'!$BD$8</f>
        <v>0</v>
      </c>
      <c r="J254" s="155">
        <f>G254*'Darba algas UZŅEMŠANĀ_jaunais'!$BB$8</f>
        <v>82058.352937500007</v>
      </c>
      <c r="K254" s="155">
        <f>H254*'Darba algas UZŅEMŠANĀ_jaunais'!$BA$8</f>
        <v>17357.755127250002</v>
      </c>
      <c r="M254" s="139">
        <f>F254*'Darba algas UZŅEMŠANĀ_jaunais'!$BA$41</f>
        <v>0</v>
      </c>
      <c r="N254" s="139"/>
    </row>
    <row r="255" spans="1:14" x14ac:dyDescent="0.25">
      <c r="A255" s="2"/>
      <c r="B255" s="2"/>
      <c r="C255" s="2"/>
      <c r="D255" s="2"/>
      <c r="E255" s="2" t="s">
        <v>184</v>
      </c>
      <c r="F255" s="197">
        <v>1</v>
      </c>
      <c r="G255" s="2">
        <v>0</v>
      </c>
      <c r="H255" s="2">
        <v>0</v>
      </c>
      <c r="I255" s="155">
        <f>F255*'Darba algas UZŅEMŠANĀ_jaunais'!$BD$9</f>
        <v>128312.71570359374</v>
      </c>
      <c r="J255" s="155">
        <f>G255*'Darba algas UZŅEMŠANĀ_jaunais'!$BB$8</f>
        <v>0</v>
      </c>
      <c r="K255" s="155">
        <f>H255*'Darba algas UZŅEMŠANĀ_jaunais'!$BA$8</f>
        <v>0</v>
      </c>
      <c r="M255" s="139">
        <f>F255*'Darba algas UZŅEMŠANĀ_jaunais'!$BA$42</f>
        <v>103821.27656249999</v>
      </c>
      <c r="N255" s="139"/>
    </row>
    <row r="256" spans="1:14" x14ac:dyDescent="0.25">
      <c r="A256" s="2"/>
      <c r="B256" s="2"/>
      <c r="C256" s="2"/>
      <c r="D256" s="2"/>
      <c r="E256" s="2" t="s">
        <v>70</v>
      </c>
      <c r="F256" s="2">
        <v>1</v>
      </c>
      <c r="G256" s="2">
        <v>0</v>
      </c>
      <c r="H256" s="2">
        <v>0</v>
      </c>
      <c r="I256" s="155">
        <f>F256*'Darba algas UZŅEMŠANĀ_jaunais'!$BD$10</f>
        <v>138971.89955050001</v>
      </c>
      <c r="J256" s="155">
        <f>G256*'Darba algas UZŅEMŠANĀ_jaunais'!$BB$10</f>
        <v>0</v>
      </c>
      <c r="K256" s="155">
        <f>H256*'Darba algas UZŅEMŠANĀ_jaunais'!$BA$10</f>
        <v>0</v>
      </c>
      <c r="M256" s="139">
        <f>F256*'Darba algas UZŅEMŠANĀ_jaunais'!$BA$48</f>
        <v>88297.795000000013</v>
      </c>
      <c r="N256" s="139"/>
    </row>
    <row r="257" spans="1:14" x14ac:dyDescent="0.25">
      <c r="A257" s="2"/>
      <c r="B257" s="2"/>
      <c r="C257" s="2"/>
      <c r="D257" s="2"/>
      <c r="E257" s="2" t="s">
        <v>87</v>
      </c>
      <c r="F257" s="2">
        <v>0</v>
      </c>
      <c r="G257" s="2">
        <v>0</v>
      </c>
      <c r="H257" s="2">
        <v>0</v>
      </c>
      <c r="I257" s="155">
        <f>F257*'Darba algas UZŅEMŠANĀ_jaunais'!$BD$8</f>
        <v>0</v>
      </c>
      <c r="J257" s="155">
        <f>G257*'Darba algas UZŅEMŠANĀ_jaunais'!$BB$8</f>
        <v>0</v>
      </c>
      <c r="K257" s="155">
        <f>H257*'Darba algas UZŅEMŠANĀ_jaunais'!$BA$8</f>
        <v>0</v>
      </c>
      <c r="M257" s="139">
        <f>F257*'Darba algas UZŅEMŠANĀ_jaunais'!$BA$41</f>
        <v>0</v>
      </c>
      <c r="N257" s="139"/>
    </row>
    <row r="258" spans="1:14" x14ac:dyDescent="0.25">
      <c r="A258" s="2"/>
      <c r="B258" s="2"/>
      <c r="C258" s="2"/>
      <c r="D258" s="2"/>
      <c r="E258" s="2" t="s">
        <v>72</v>
      </c>
      <c r="F258" s="2">
        <v>2</v>
      </c>
      <c r="G258" s="2">
        <v>1</v>
      </c>
      <c r="H258" s="2">
        <v>1</v>
      </c>
      <c r="I258" s="155">
        <f>F258*'Darba algas UZŅEMŠANĀ_jaunais'!$BD$10</f>
        <v>277943.79910100001</v>
      </c>
      <c r="J258" s="155">
        <f>G258*'Darba algas UZŅEMŠANĀ_jaunais'!$BB$10</f>
        <v>51330.789187500006</v>
      </c>
      <c r="K258" s="155">
        <f>H258*'Darba algas UZŅEMŠANĀ_jaunais'!$BA$10</f>
        <v>10857.971642250001</v>
      </c>
      <c r="M258" s="139">
        <f>F258*'Darba algas UZŅEMŠANĀ_jaunais'!$BA$48</f>
        <v>176595.59000000003</v>
      </c>
      <c r="N258" s="139"/>
    </row>
    <row r="259" spans="1:14" x14ac:dyDescent="0.25">
      <c r="A259" s="2"/>
      <c r="B259" s="2"/>
      <c r="D259" s="2"/>
      <c r="E259" s="2" t="s">
        <v>76</v>
      </c>
      <c r="F259" s="2">
        <v>0</v>
      </c>
      <c r="G259" s="2">
        <v>0</v>
      </c>
      <c r="H259" s="2">
        <v>0</v>
      </c>
      <c r="I259" s="155">
        <f>F259*'Darba algas UZŅEMŠANĀ_jaunais'!$BD$10</f>
        <v>0</v>
      </c>
      <c r="J259" s="155">
        <f>G259*'Darba algas UZŅEMŠANĀ_jaunais'!$BB$10</f>
        <v>0</v>
      </c>
      <c r="K259" s="155">
        <f>H259*'Darba algas UZŅEMŠANĀ_jaunais'!$BA$10</f>
        <v>0</v>
      </c>
      <c r="M259" s="139">
        <f>F259*'Darba algas UZŅEMŠANĀ_jaunais'!$BA$48</f>
        <v>0</v>
      </c>
      <c r="N259" s="139"/>
    </row>
    <row r="260" spans="1:14" x14ac:dyDescent="0.25">
      <c r="A260" s="2"/>
      <c r="B260" s="2"/>
      <c r="D260" s="2"/>
      <c r="E260" s="2" t="s">
        <v>73</v>
      </c>
      <c r="F260" s="2">
        <v>2</v>
      </c>
      <c r="G260" s="2">
        <v>0</v>
      </c>
      <c r="H260" s="2">
        <v>0</v>
      </c>
      <c r="I260" s="155">
        <f>F260*'Darba algas UZŅEMŠANĀ_jaunais'!$BD$11</f>
        <v>184513.72695499999</v>
      </c>
      <c r="J260" s="155">
        <f>ROUND(G260*'Darba algas UZŅEMŠANĀ_jaunais'!$BA$11,0)</f>
        <v>0</v>
      </c>
      <c r="K260" s="155">
        <f>ROUND(H260*'Darba algas UZŅEMŠANĀ_jaunais'!$BB$11,0)</f>
        <v>0</v>
      </c>
      <c r="M260" s="139">
        <f>F260*'Darba algas UZŅEMŠANĀ_jaunais'!$BA$55</f>
        <v>117233.45</v>
      </c>
      <c r="N260" s="139"/>
    </row>
    <row r="261" spans="1:14" ht="12" thickBot="1" x14ac:dyDescent="0.3">
      <c r="A261" s="176"/>
      <c r="B261" s="176"/>
      <c r="D261" s="176"/>
      <c r="E261" s="176" t="s">
        <v>77</v>
      </c>
      <c r="F261" s="176">
        <v>0</v>
      </c>
      <c r="G261" s="176">
        <v>0</v>
      </c>
      <c r="H261" s="176">
        <v>0</v>
      </c>
      <c r="I261" s="155">
        <f>ROUND(F261*'Darba algas UZŅEMŠANĀ_jaunais'!$BE$10,0)</f>
        <v>0</v>
      </c>
      <c r="J261" s="155">
        <f>G261*'Darba algas UZŅEMŠANĀ_jaunais'!$BB$10</f>
        <v>0</v>
      </c>
      <c r="K261" s="155">
        <f>H261*'Darba algas UZŅEMŠANĀ_jaunais'!$BA$10</f>
        <v>0</v>
      </c>
      <c r="M261" s="139">
        <f>F261*'Darba algas UZŅEMŠANĀ_jaunais'!$BA$48</f>
        <v>0</v>
      </c>
      <c r="N261" s="139"/>
    </row>
    <row r="262" spans="1:14" ht="12" thickBot="1" x14ac:dyDescent="0.3">
      <c r="A262" s="2"/>
      <c r="B262" s="2"/>
      <c r="D262" s="173" t="s">
        <v>179</v>
      </c>
      <c r="E262" s="174">
        <f>SUM(F262:H262)</f>
        <v>1363386.8895655938</v>
      </c>
      <c r="F262" s="175">
        <f>I245</f>
        <v>1201782.0206710938</v>
      </c>
      <c r="G262" s="175">
        <f>J245</f>
        <v>133389.14212500001</v>
      </c>
      <c r="H262" s="175">
        <f>K245</f>
        <v>28215.726769500005</v>
      </c>
      <c r="M262" s="139"/>
      <c r="N262" s="139"/>
    </row>
    <row r="263" spans="1:14" x14ac:dyDescent="0.25">
      <c r="A263" s="184" t="s">
        <v>91</v>
      </c>
      <c r="B263" s="5" t="s">
        <v>42</v>
      </c>
      <c r="C263" s="5" t="s">
        <v>7</v>
      </c>
      <c r="D263" s="5" t="s">
        <v>18</v>
      </c>
      <c r="E263" s="169" t="s">
        <v>80</v>
      </c>
      <c r="F263" s="5">
        <f>SUM(F264:F273,F275)</f>
        <v>4</v>
      </c>
      <c r="G263" s="5">
        <f>SUM(G264:G273,G275)</f>
        <v>2</v>
      </c>
      <c r="H263" s="5">
        <f>SUM(H264:H273,H275)</f>
        <v>2</v>
      </c>
      <c r="I263" s="170">
        <f>SUM(I264:I279)</f>
        <v>1715745.759452594</v>
      </c>
      <c r="J263" s="170">
        <f t="shared" ref="J263:K263" si="14">SUM(J264:J279)</f>
        <v>215447.49506250001</v>
      </c>
      <c r="K263" s="170">
        <f t="shared" si="14"/>
        <v>45573.481896750003</v>
      </c>
      <c r="L263" s="153">
        <f>SUM(I263:K263)</f>
        <v>1976766.7364118439</v>
      </c>
      <c r="M263" s="139">
        <f>SUM(M264:M279)</f>
        <v>1086007.1865625002</v>
      </c>
      <c r="N263" s="139">
        <f>(F263-1)*'Darba algas UZŅEMŠANĀ_jaunais'!BE15</f>
        <v>41570.639999999999</v>
      </c>
    </row>
    <row r="264" spans="1:14" x14ac:dyDescent="0.25">
      <c r="A264" s="2"/>
      <c r="B264" s="2"/>
      <c r="C264" s="2" t="s">
        <v>9</v>
      </c>
      <c r="D264" s="2" t="s">
        <v>10</v>
      </c>
      <c r="E264" s="2" t="s">
        <v>64</v>
      </c>
      <c r="F264" s="2">
        <v>1</v>
      </c>
      <c r="G264" s="2">
        <v>0</v>
      </c>
      <c r="H264" s="2">
        <v>0</v>
      </c>
      <c r="I264" s="155">
        <f>F264*'Darba algas UZŅEMŠANĀ_jaunais'!$BD$8</f>
        <v>236019.93968050004</v>
      </c>
      <c r="J264" s="155">
        <f>G264*'Darba algas UZŅEMŠANĀ_jaunais'!$BB$8</f>
        <v>0</v>
      </c>
      <c r="K264" s="155">
        <f>H264*'Darba algas UZŅEMŠANĀ_jaunais'!$BA$8</f>
        <v>0</v>
      </c>
      <c r="M264" s="139">
        <f>F264*'Darba algas UZŅEMŠANĀ_jaunais'!$BA$41</f>
        <v>141154.49500000002</v>
      </c>
      <c r="N264" s="139"/>
    </row>
    <row r="265" spans="1:14" x14ac:dyDescent="0.25">
      <c r="A265" s="2"/>
      <c r="B265" s="2"/>
      <c r="C265" s="2" t="s">
        <v>11</v>
      </c>
      <c r="D265" s="2" t="s">
        <v>12</v>
      </c>
      <c r="E265" s="2" t="s">
        <v>82</v>
      </c>
      <c r="F265" s="2">
        <v>0</v>
      </c>
      <c r="G265" s="2">
        <v>0</v>
      </c>
      <c r="H265" s="2">
        <v>0</v>
      </c>
      <c r="I265" s="155">
        <f>F265*'Darba algas UZŅEMŠANĀ_jaunais'!$BD$8</f>
        <v>0</v>
      </c>
      <c r="J265" s="155">
        <f>G265*'Darba algas UZŅEMŠANĀ_jaunais'!$BB$8</f>
        <v>0</v>
      </c>
      <c r="K265" s="155">
        <f>H265*'Darba algas UZŅEMŠANĀ_jaunais'!$BA$8</f>
        <v>0</v>
      </c>
      <c r="M265" s="139">
        <f>F265*'Darba algas UZŅEMŠANĀ_jaunais'!$BA$41</f>
        <v>0</v>
      </c>
      <c r="N265" s="139"/>
    </row>
    <row r="266" spans="1:14" x14ac:dyDescent="0.25">
      <c r="A266" s="2"/>
      <c r="B266" s="2"/>
      <c r="C266" s="2" t="s">
        <v>12</v>
      </c>
      <c r="D266" s="3" t="s">
        <v>26</v>
      </c>
      <c r="E266" s="2" t="s">
        <v>65</v>
      </c>
      <c r="F266" s="2">
        <v>1</v>
      </c>
      <c r="G266" s="2">
        <v>0</v>
      </c>
      <c r="H266" s="2">
        <v>0</v>
      </c>
      <c r="I266" s="155">
        <f>F266*'Darba algas UZŅEMŠANĀ_jaunais'!$BD$8</f>
        <v>236019.93968050004</v>
      </c>
      <c r="J266" s="155">
        <f>G266*'Darba algas UZŅEMŠANĀ_jaunais'!$BB$8</f>
        <v>0</v>
      </c>
      <c r="K266" s="155">
        <f>H266*'Darba algas UZŅEMŠANĀ_jaunais'!$BA$8</f>
        <v>0</v>
      </c>
      <c r="M266" s="139">
        <f>F266*'Darba algas UZŅEMŠANĀ_jaunais'!$BA$41</f>
        <v>141154.49500000002</v>
      </c>
      <c r="N266" s="139"/>
    </row>
    <row r="267" spans="1:14" x14ac:dyDescent="0.25">
      <c r="A267" s="2"/>
      <c r="B267" s="2"/>
      <c r="C267" s="3" t="s">
        <v>26</v>
      </c>
      <c r="D267" s="2" t="s">
        <v>14</v>
      </c>
      <c r="E267" s="2" t="s">
        <v>83</v>
      </c>
      <c r="F267" s="2">
        <v>1</v>
      </c>
      <c r="G267" s="2">
        <v>0</v>
      </c>
      <c r="H267" s="2">
        <v>0</v>
      </c>
      <c r="I267" s="155">
        <f>F267*'Darba algas UZŅEMŠANĀ_jaunais'!$BD$8</f>
        <v>236019.93968050004</v>
      </c>
      <c r="J267" s="155">
        <f>G267*'Darba algas UZŅEMŠANĀ_jaunais'!$BB$8</f>
        <v>0</v>
      </c>
      <c r="K267" s="155">
        <f>H267*'Darba algas UZŅEMŠANĀ_jaunais'!$BA$8</f>
        <v>0</v>
      </c>
      <c r="M267" s="139">
        <f>F267*'Darba algas UZŅEMŠANĀ_jaunais'!$BA$41</f>
        <v>141154.49500000002</v>
      </c>
      <c r="N267" s="139"/>
    </row>
    <row r="268" spans="1:14" x14ac:dyDescent="0.25">
      <c r="A268" s="2"/>
      <c r="B268" s="2"/>
      <c r="C268" s="2"/>
      <c r="D268" s="2"/>
      <c r="E268" s="2" t="s">
        <v>66</v>
      </c>
      <c r="F268" s="2">
        <v>0</v>
      </c>
      <c r="G268" s="2">
        <v>0</v>
      </c>
      <c r="H268" s="2">
        <v>0</v>
      </c>
      <c r="I268" s="155">
        <f>F268*'Darba algas UZŅEMŠANĀ_jaunais'!$BD$8</f>
        <v>0</v>
      </c>
      <c r="J268" s="155">
        <f>G268*'Darba algas UZŅEMŠANĀ_jaunais'!$BB$8</f>
        <v>0</v>
      </c>
      <c r="K268" s="155">
        <f>H268*'Darba algas UZŅEMŠANĀ_jaunais'!$BA$8</f>
        <v>0</v>
      </c>
      <c r="M268" s="139">
        <f>F268*'Darba algas UZŅEMŠANĀ_jaunais'!$BA$41</f>
        <v>0</v>
      </c>
      <c r="N268" s="139"/>
    </row>
    <row r="269" spans="1:14" x14ac:dyDescent="0.25">
      <c r="A269" s="2"/>
      <c r="B269" s="2"/>
      <c r="C269" s="2"/>
      <c r="D269" s="2"/>
      <c r="E269" s="2" t="s">
        <v>67</v>
      </c>
      <c r="F269" s="2">
        <v>0</v>
      </c>
      <c r="G269" s="2">
        <v>0</v>
      </c>
      <c r="H269" s="2">
        <v>0</v>
      </c>
      <c r="I269" s="155">
        <f>F269*'Darba algas UZŅEMŠANĀ_jaunais'!$BD$8</f>
        <v>0</v>
      </c>
      <c r="J269" s="155">
        <f>G269*'Darba algas UZŅEMŠANĀ_jaunais'!$BB$8</f>
        <v>0</v>
      </c>
      <c r="K269" s="155">
        <f>H269*'Darba algas UZŅEMŠANĀ_jaunais'!$BA$8</f>
        <v>0</v>
      </c>
      <c r="M269" s="139">
        <f>F269*'Darba algas UZŅEMŠANĀ_jaunais'!$BA$41</f>
        <v>0</v>
      </c>
      <c r="N269" s="139"/>
    </row>
    <row r="270" spans="1:14" x14ac:dyDescent="0.25">
      <c r="A270" s="2"/>
      <c r="B270" s="2"/>
      <c r="C270" s="2"/>
      <c r="D270" s="2"/>
      <c r="E270" s="2" t="s">
        <v>74</v>
      </c>
      <c r="F270" s="2">
        <v>0</v>
      </c>
      <c r="G270" s="2">
        <v>1</v>
      </c>
      <c r="H270" s="2">
        <v>1</v>
      </c>
      <c r="I270" s="155">
        <f>F270*'Darba algas UZŅEMŠANĀ_jaunais'!$BD$8</f>
        <v>0</v>
      </c>
      <c r="J270" s="155">
        <f>G270*'Darba algas UZŅEMŠANĀ_jaunais'!$BB$8</f>
        <v>82058.352937500007</v>
      </c>
      <c r="K270" s="155">
        <f>H270*'Darba algas UZŅEMŠANĀ_jaunais'!$BA$8</f>
        <v>17357.755127250002</v>
      </c>
      <c r="M270" s="139">
        <f>F270*'Darba algas UZŅEMŠANĀ_jaunais'!$BA$41</f>
        <v>0</v>
      </c>
      <c r="N270" s="139"/>
    </row>
    <row r="271" spans="1:14" x14ac:dyDescent="0.25">
      <c r="A271" s="2"/>
      <c r="B271" s="2"/>
      <c r="C271" s="2"/>
      <c r="D271" s="2"/>
      <c r="E271" s="2" t="s">
        <v>75</v>
      </c>
      <c r="F271" s="2">
        <v>0</v>
      </c>
      <c r="G271" s="2">
        <v>0</v>
      </c>
      <c r="H271" s="2">
        <v>0</v>
      </c>
      <c r="I271" s="155">
        <f>F271*'Darba algas UZŅEMŠANĀ_jaunais'!$BD$8</f>
        <v>0</v>
      </c>
      <c r="J271" s="155">
        <f>G271*'Darba algas UZŅEMŠANĀ_jaunais'!$BB$8</f>
        <v>0</v>
      </c>
      <c r="K271" s="155">
        <f>H271*'Darba algas UZŅEMŠANĀ_jaunais'!$BA$8</f>
        <v>0</v>
      </c>
      <c r="M271" s="139">
        <f>F271*'Darba algas UZŅEMŠANĀ_jaunais'!$BA$41</f>
        <v>0</v>
      </c>
      <c r="N271" s="139"/>
    </row>
    <row r="272" spans="1:14" x14ac:dyDescent="0.25">
      <c r="A272" s="2"/>
      <c r="B272" s="2"/>
      <c r="C272" s="2"/>
      <c r="D272" s="2"/>
      <c r="E272" s="2" t="s">
        <v>69</v>
      </c>
      <c r="F272" s="2">
        <v>0</v>
      </c>
      <c r="G272" s="2">
        <v>1</v>
      </c>
      <c r="H272" s="2">
        <v>1</v>
      </c>
      <c r="I272" s="155">
        <f>F272*'Darba algas UZŅEMŠANĀ_jaunais'!$BD$8</f>
        <v>0</v>
      </c>
      <c r="J272" s="155">
        <f>G272*'Darba algas UZŅEMŠANĀ_jaunais'!$BB$8</f>
        <v>82058.352937500007</v>
      </c>
      <c r="K272" s="155">
        <f>H272*'Darba algas UZŅEMŠANĀ_jaunais'!$BA$8</f>
        <v>17357.755127250002</v>
      </c>
      <c r="M272" s="139">
        <f>F272*'Darba algas UZŅEMŠANĀ_jaunais'!$BA$41</f>
        <v>0</v>
      </c>
      <c r="N272" s="139"/>
    </row>
    <row r="273" spans="1:14" x14ac:dyDescent="0.25">
      <c r="A273" s="2"/>
      <c r="B273" s="2"/>
      <c r="C273" s="2"/>
      <c r="D273" s="2"/>
      <c r="E273" s="2" t="s">
        <v>184</v>
      </c>
      <c r="F273" s="197">
        <v>1</v>
      </c>
      <c r="G273" s="2">
        <v>0</v>
      </c>
      <c r="H273" s="2">
        <v>0</v>
      </c>
      <c r="I273" s="155">
        <f>F273*'Darba algas UZŅEMŠANĀ_jaunais'!$BD$9</f>
        <v>128312.71570359374</v>
      </c>
      <c r="J273" s="155">
        <f>G273*'Darba algas UZŅEMŠANĀ_jaunais'!$BB$8</f>
        <v>0</v>
      </c>
      <c r="K273" s="155">
        <f>H273*'Darba algas UZŅEMŠANĀ_jaunais'!$BA$8</f>
        <v>0</v>
      </c>
      <c r="M273" s="139">
        <f>F273*'Darba algas UZŅEMŠANĀ_jaunais'!$BA$42</f>
        <v>103821.27656249999</v>
      </c>
      <c r="N273" s="139"/>
    </row>
    <row r="274" spans="1:14" x14ac:dyDescent="0.25">
      <c r="A274" s="2"/>
      <c r="B274" s="2"/>
      <c r="C274" s="2"/>
      <c r="D274" s="2"/>
      <c r="E274" s="2" t="s">
        <v>70</v>
      </c>
      <c r="F274" s="2">
        <v>1</v>
      </c>
      <c r="G274" s="2">
        <v>0</v>
      </c>
      <c r="H274" s="2">
        <v>0</v>
      </c>
      <c r="I274" s="155">
        <f>F274*'Darba algas UZŅEMŠANĀ_jaunais'!$BD$10</f>
        <v>138971.89955050001</v>
      </c>
      <c r="J274" s="155">
        <f>G274*'Darba algas UZŅEMŠANĀ_jaunais'!$BB$10</f>
        <v>0</v>
      </c>
      <c r="K274" s="155">
        <f>H274*'Darba algas UZŅEMŠANĀ_jaunais'!$BA$10</f>
        <v>0</v>
      </c>
      <c r="M274" s="139">
        <f>F274*'Darba algas UZŅEMŠANĀ_jaunais'!$BA$48</f>
        <v>88297.795000000013</v>
      </c>
      <c r="N274" s="139"/>
    </row>
    <row r="275" spans="1:14" x14ac:dyDescent="0.25">
      <c r="A275" s="2"/>
      <c r="B275" s="2"/>
      <c r="C275" s="2"/>
      <c r="D275" s="2"/>
      <c r="E275" s="2" t="s">
        <v>87</v>
      </c>
      <c r="F275" s="2">
        <v>0</v>
      </c>
      <c r="G275" s="2">
        <v>0</v>
      </c>
      <c r="H275" s="2">
        <v>0</v>
      </c>
      <c r="I275" s="155">
        <f>F275*'Darba algas UZŅEMŠANĀ_jaunais'!$BD$8</f>
        <v>0</v>
      </c>
      <c r="J275" s="155">
        <f>G275*'Darba algas UZŅEMŠANĀ_jaunais'!$BB$8</f>
        <v>0</v>
      </c>
      <c r="K275" s="155">
        <f>H275*'Darba algas UZŅEMŠANĀ_jaunais'!$BA$8</f>
        <v>0</v>
      </c>
      <c r="M275" s="139">
        <f>F275*'Darba algas UZŅEMŠANĀ_jaunais'!$BA$41</f>
        <v>0</v>
      </c>
      <c r="N275" s="139"/>
    </row>
    <row r="276" spans="1:14" x14ac:dyDescent="0.25">
      <c r="A276" s="2"/>
      <c r="B276" s="2"/>
      <c r="C276" s="2"/>
      <c r="D276" s="2"/>
      <c r="E276" s="2" t="s">
        <v>72</v>
      </c>
      <c r="F276" s="2">
        <v>2</v>
      </c>
      <c r="G276" s="2">
        <v>1</v>
      </c>
      <c r="H276" s="2">
        <v>1</v>
      </c>
      <c r="I276" s="155">
        <f>F276*'Darba algas UZŅEMŠANĀ_jaunais'!$BD$10</f>
        <v>277943.79910100001</v>
      </c>
      <c r="J276" s="155">
        <f>G276*'Darba algas UZŅEMŠANĀ_jaunais'!$BB$10</f>
        <v>51330.789187500006</v>
      </c>
      <c r="K276" s="155">
        <f>H276*'Darba algas UZŅEMŠANĀ_jaunais'!$BA$10</f>
        <v>10857.971642250001</v>
      </c>
      <c r="M276" s="139">
        <f>F276*'Darba algas UZŅEMŠANĀ_jaunais'!$BA$48</f>
        <v>176595.59000000003</v>
      </c>
      <c r="N276" s="139"/>
    </row>
    <row r="277" spans="1:14" x14ac:dyDescent="0.25">
      <c r="A277" s="2"/>
      <c r="B277" s="2"/>
      <c r="C277" s="2"/>
      <c r="D277" s="2"/>
      <c r="E277" s="2" t="s">
        <v>76</v>
      </c>
      <c r="F277" s="2">
        <v>2</v>
      </c>
      <c r="G277" s="2">
        <v>0</v>
      </c>
      <c r="H277" s="2">
        <v>0</v>
      </c>
      <c r="I277" s="155">
        <f>F277*'Darba algas UZŅEMŠANĀ_jaunais'!$BD$10</f>
        <v>277943.79910100001</v>
      </c>
      <c r="J277" s="155">
        <f>G277*'Darba algas UZŅEMŠANĀ_jaunais'!$BB$10</f>
        <v>0</v>
      </c>
      <c r="K277" s="155">
        <f>H277*'Darba algas UZŅEMŠANĀ_jaunais'!$BA$10</f>
        <v>0</v>
      </c>
      <c r="M277" s="139">
        <f>F277*'Darba algas UZŅEMŠANĀ_jaunais'!$BA$48</f>
        <v>176595.59000000003</v>
      </c>
      <c r="N277" s="139"/>
    </row>
    <row r="278" spans="1:14" x14ac:dyDescent="0.25">
      <c r="A278" s="2"/>
      <c r="B278" s="2"/>
      <c r="C278" s="2"/>
      <c r="D278" s="2"/>
      <c r="E278" s="2" t="s">
        <v>73</v>
      </c>
      <c r="F278" s="2">
        <v>2</v>
      </c>
      <c r="G278" s="2">
        <v>0</v>
      </c>
      <c r="H278" s="2">
        <v>0</v>
      </c>
      <c r="I278" s="155">
        <f>F278*'Darba algas UZŅEMŠANĀ_jaunais'!$BD$11</f>
        <v>184513.72695499999</v>
      </c>
      <c r="J278" s="155">
        <f>ROUND(G278*'Darba algas UZŅEMŠANĀ_jaunais'!$BA$11,0)</f>
        <v>0</v>
      </c>
      <c r="K278" s="155">
        <f>ROUND(H278*'Darba algas UZŅEMŠANĀ_jaunais'!$BB$11,0)</f>
        <v>0</v>
      </c>
      <c r="M278" s="139">
        <f>F278*'Darba algas UZŅEMŠANĀ_jaunais'!$BA$55</f>
        <v>117233.45</v>
      </c>
      <c r="N278" s="139"/>
    </row>
    <row r="279" spans="1:14" ht="13.15" customHeight="1" thickBot="1" x14ac:dyDescent="0.3">
      <c r="A279" s="2"/>
      <c r="B279" s="2"/>
      <c r="D279" s="176"/>
      <c r="E279" s="176" t="s">
        <v>77</v>
      </c>
      <c r="F279" s="176">
        <v>0</v>
      </c>
      <c r="G279" s="176">
        <v>0</v>
      </c>
      <c r="H279" s="176">
        <v>0</v>
      </c>
      <c r="I279" s="155">
        <f>ROUND(F279*'Darba algas UZŅEMŠANĀ_jaunais'!$BE$10,0)</f>
        <v>0</v>
      </c>
      <c r="J279" s="155">
        <f>G279*'Darba algas UZŅEMŠANĀ_jaunais'!$BB$10</f>
        <v>0</v>
      </c>
      <c r="K279" s="155">
        <f>H279*'Darba algas UZŅEMŠANĀ_jaunais'!$BA$10</f>
        <v>0</v>
      </c>
      <c r="M279" s="139">
        <f>F279*'Darba algas UZŅEMŠANĀ_jaunais'!$BA$48</f>
        <v>0</v>
      </c>
      <c r="N279" s="139"/>
    </row>
    <row r="280" spans="1:14" ht="12" thickBot="1" x14ac:dyDescent="0.3">
      <c r="A280" s="2"/>
      <c r="B280" s="2"/>
      <c r="D280" s="173" t="s">
        <v>179</v>
      </c>
      <c r="E280" s="174">
        <f>SUM(F280:H280)</f>
        <v>1976766.7364118439</v>
      </c>
      <c r="F280" s="175">
        <f>I263</f>
        <v>1715745.759452594</v>
      </c>
      <c r="G280" s="175">
        <f>J263</f>
        <v>215447.49506250001</v>
      </c>
      <c r="H280" s="175">
        <f>K263</f>
        <v>45573.481896750003</v>
      </c>
      <c r="M280" s="139"/>
      <c r="N280" s="139"/>
    </row>
    <row r="281" spans="1:14" x14ac:dyDescent="0.25">
      <c r="A281" s="184" t="s">
        <v>92</v>
      </c>
      <c r="B281" s="5" t="s">
        <v>43</v>
      </c>
      <c r="C281" s="5" t="s">
        <v>7</v>
      </c>
      <c r="D281" s="187" t="s">
        <v>18</v>
      </c>
      <c r="E281" s="169" t="s">
        <v>80</v>
      </c>
      <c r="F281" s="5">
        <f>SUM(F282:F291,F293)</f>
        <v>8</v>
      </c>
      <c r="G281" s="5">
        <f>SUM(G282:G291,G293)</f>
        <v>4</v>
      </c>
      <c r="H281" s="5">
        <f>SUM(H282:H291,H293)</f>
        <v>4</v>
      </c>
      <c r="I281" s="170">
        <f>SUM(I282:I297)</f>
        <v>3692447.7942635003</v>
      </c>
      <c r="J281" s="170">
        <f t="shared" ref="J281:K281" si="15">SUM(J282:J297)</f>
        <v>379564.20093750005</v>
      </c>
      <c r="K281" s="170">
        <f t="shared" si="15"/>
        <v>80288.992151250015</v>
      </c>
      <c r="L281" s="153">
        <f>SUM(I281:K281)</f>
        <v>4152300.9873522506</v>
      </c>
      <c r="M281" s="139">
        <f>SUM(M282:M297)</f>
        <v>2275616.4650000003</v>
      </c>
      <c r="N281" s="139">
        <f>F281*'Darba algas UZŅEMŠANĀ_jaunais'!BE15</f>
        <v>110855.03999999999</v>
      </c>
    </row>
    <row r="282" spans="1:14" x14ac:dyDescent="0.25">
      <c r="A282" s="2"/>
      <c r="B282" s="2"/>
      <c r="C282" s="2" t="s">
        <v>9</v>
      </c>
      <c r="D282" s="2" t="s">
        <v>10</v>
      </c>
      <c r="E282" s="2" t="s">
        <v>64</v>
      </c>
      <c r="F282" s="2">
        <v>1</v>
      </c>
      <c r="G282" s="2">
        <v>1</v>
      </c>
      <c r="H282" s="2">
        <v>1</v>
      </c>
      <c r="I282" s="155">
        <f>F282*'Darba algas UZŅEMŠANĀ_jaunais'!$BD$8</f>
        <v>236019.93968050004</v>
      </c>
      <c r="J282" s="155">
        <f>G282*'Darba algas UZŅEMŠANĀ_jaunais'!$BB$8</f>
        <v>82058.352937500007</v>
      </c>
      <c r="K282" s="155">
        <f>H282*'Darba algas UZŅEMŠANĀ_jaunais'!$BA$8</f>
        <v>17357.755127250002</v>
      </c>
      <c r="M282" s="139">
        <f>F282*'Darba algas UZŅEMŠANĀ_jaunais'!$BA$41</f>
        <v>141154.49500000002</v>
      </c>
      <c r="N282" s="139"/>
    </row>
    <row r="283" spans="1:14" x14ac:dyDescent="0.25">
      <c r="A283" s="2"/>
      <c r="B283" s="2"/>
      <c r="C283" s="2" t="s">
        <v>10</v>
      </c>
      <c r="D283" s="188" t="s">
        <v>24</v>
      </c>
      <c r="E283" s="2" t="s">
        <v>82</v>
      </c>
      <c r="F283" s="2">
        <v>0</v>
      </c>
      <c r="G283" s="2">
        <v>0</v>
      </c>
      <c r="H283" s="2">
        <v>0</v>
      </c>
      <c r="I283" s="155">
        <f>F283*'Darba algas UZŅEMŠANĀ_jaunais'!$BD$8</f>
        <v>0</v>
      </c>
      <c r="J283" s="155">
        <f>G283*'Darba algas UZŅEMŠANĀ_jaunais'!$BB$8</f>
        <v>0</v>
      </c>
      <c r="K283" s="155">
        <f>H283*'Darba algas UZŅEMŠANĀ_jaunais'!$BA$8</f>
        <v>0</v>
      </c>
      <c r="M283" s="139">
        <f>F283*'Darba algas UZŅEMŠANĀ_jaunais'!$BA$41</f>
        <v>0</v>
      </c>
      <c r="N283" s="139"/>
    </row>
    <row r="284" spans="1:14" x14ac:dyDescent="0.25">
      <c r="A284" s="2"/>
      <c r="B284" s="2"/>
      <c r="C284" s="2" t="s">
        <v>11</v>
      </c>
      <c r="D284" s="188" t="s">
        <v>21</v>
      </c>
      <c r="E284" s="2" t="s">
        <v>65</v>
      </c>
      <c r="F284" s="2">
        <v>1</v>
      </c>
      <c r="G284" s="2">
        <v>1</v>
      </c>
      <c r="H284" s="2">
        <v>1</v>
      </c>
      <c r="I284" s="155">
        <f>F284*'Darba algas UZŅEMŠANĀ_jaunais'!$BD$8</f>
        <v>236019.93968050004</v>
      </c>
      <c r="J284" s="155">
        <f>G284*'Darba algas UZŅEMŠANĀ_jaunais'!$BB$8</f>
        <v>82058.352937500007</v>
      </c>
      <c r="K284" s="155">
        <f>H284*'Darba algas UZŅEMŠANĀ_jaunais'!$BA$8</f>
        <v>17357.755127250002</v>
      </c>
      <c r="M284" s="139">
        <f>F284*'Darba algas UZŅEMŠANĀ_jaunais'!$BA$41</f>
        <v>141154.49500000002</v>
      </c>
      <c r="N284" s="139"/>
    </row>
    <row r="285" spans="1:14" x14ac:dyDescent="0.25">
      <c r="A285" s="2"/>
      <c r="B285" s="2"/>
      <c r="C285" s="2" t="s">
        <v>21</v>
      </c>
      <c r="D285" s="188" t="s">
        <v>25</v>
      </c>
      <c r="E285" s="2" t="s">
        <v>83</v>
      </c>
      <c r="F285" s="2">
        <v>1</v>
      </c>
      <c r="G285" s="2">
        <v>1</v>
      </c>
      <c r="H285" s="2">
        <v>1</v>
      </c>
      <c r="I285" s="155">
        <f>F285*'Darba algas UZŅEMŠANĀ_jaunais'!$BD$8</f>
        <v>236019.93968050004</v>
      </c>
      <c r="J285" s="155">
        <f>G285*'Darba algas UZŅEMŠANĀ_jaunais'!$BB$8</f>
        <v>82058.352937500007</v>
      </c>
      <c r="K285" s="155">
        <f>H285*'Darba algas UZŅEMŠANĀ_jaunais'!$BA$8</f>
        <v>17357.755127250002</v>
      </c>
      <c r="M285" s="139">
        <f>F285*'Darba algas UZŅEMŠANĀ_jaunais'!$BA$41</f>
        <v>141154.49500000002</v>
      </c>
      <c r="N285" s="139"/>
    </row>
    <row r="286" spans="1:14" x14ac:dyDescent="0.25">
      <c r="A286" s="2"/>
      <c r="B286" s="2"/>
      <c r="C286" s="2" t="s">
        <v>12</v>
      </c>
      <c r="D286" s="188" t="s">
        <v>26</v>
      </c>
      <c r="E286" s="2" t="s">
        <v>66</v>
      </c>
      <c r="F286" s="2">
        <v>1</v>
      </c>
      <c r="G286" s="2">
        <v>0</v>
      </c>
      <c r="H286" s="2">
        <v>0</v>
      </c>
      <c r="I286" s="155">
        <f>F286*'Darba algas UZŅEMŠANĀ_jaunais'!$BD$8</f>
        <v>236019.93968050004</v>
      </c>
      <c r="J286" s="155">
        <f>G286*'Darba algas UZŅEMŠANĀ_jaunais'!$BB$8</f>
        <v>0</v>
      </c>
      <c r="K286" s="155">
        <f>H286*'Darba algas UZŅEMŠANĀ_jaunais'!$BA$8</f>
        <v>0</v>
      </c>
      <c r="M286" s="139">
        <f>F286*'Darba algas UZŅEMŠANĀ_jaunais'!$BA$41</f>
        <v>141154.49500000002</v>
      </c>
      <c r="N286" s="139"/>
    </row>
    <row r="287" spans="1:14" x14ac:dyDescent="0.25">
      <c r="A287" s="2"/>
      <c r="B287" s="2"/>
      <c r="C287" s="3" t="s">
        <v>26</v>
      </c>
      <c r="D287" s="188" t="s">
        <v>14</v>
      </c>
      <c r="E287" s="2" t="s">
        <v>67</v>
      </c>
      <c r="F287" s="2">
        <v>1</v>
      </c>
      <c r="G287" s="2">
        <v>0</v>
      </c>
      <c r="H287" s="2">
        <v>0</v>
      </c>
      <c r="I287" s="155">
        <f>F287*'Darba algas UZŅEMŠANĀ_jaunais'!$BD$8</f>
        <v>236019.93968050004</v>
      </c>
      <c r="J287" s="155">
        <f>G287*'Darba algas UZŅEMŠANĀ_jaunais'!$BB$8</f>
        <v>0</v>
      </c>
      <c r="K287" s="155">
        <f>H287*'Darba algas UZŅEMŠANĀ_jaunais'!$BA$8</f>
        <v>0</v>
      </c>
      <c r="M287" s="139">
        <f>F287*'Darba algas UZŅEMŠANĀ_jaunais'!$BA$41</f>
        <v>141154.49500000002</v>
      </c>
      <c r="N287" s="139"/>
    </row>
    <row r="288" spans="1:14" x14ac:dyDescent="0.25">
      <c r="A288" s="2"/>
      <c r="C288" s="2" t="s">
        <v>14</v>
      </c>
      <c r="D288" s="2" t="s">
        <v>13</v>
      </c>
      <c r="E288" s="2" t="s">
        <v>74</v>
      </c>
      <c r="F288" s="2">
        <v>1</v>
      </c>
      <c r="G288" s="2">
        <v>0</v>
      </c>
      <c r="H288" s="2">
        <v>0</v>
      </c>
      <c r="I288" s="155">
        <f>F288*'Darba algas UZŅEMŠANĀ_jaunais'!$BD$8</f>
        <v>236019.93968050004</v>
      </c>
      <c r="J288" s="155">
        <f>G288*'Darba algas UZŅEMŠANĀ_jaunais'!$BB$8</f>
        <v>0</v>
      </c>
      <c r="K288" s="155">
        <f>H288*'Darba algas UZŅEMŠANĀ_jaunais'!$BA$8</f>
        <v>0</v>
      </c>
      <c r="M288" s="139">
        <f>F288*'Darba algas UZŅEMŠANĀ_jaunais'!$BA$41</f>
        <v>141154.49500000002</v>
      </c>
      <c r="N288" s="139"/>
    </row>
    <row r="289" spans="1:14" x14ac:dyDescent="0.25">
      <c r="A289" s="2"/>
      <c r="B289" s="2"/>
      <c r="C289" s="2" t="s">
        <v>13</v>
      </c>
      <c r="D289" s="2" t="s">
        <v>15</v>
      </c>
      <c r="E289" s="2" t="s">
        <v>75</v>
      </c>
      <c r="F289" s="2">
        <v>0</v>
      </c>
      <c r="G289" s="2">
        <v>0</v>
      </c>
      <c r="H289" s="2">
        <v>0</v>
      </c>
      <c r="I289" s="155">
        <f>F289*'Darba algas UZŅEMŠANĀ_jaunais'!$BD$8</f>
        <v>0</v>
      </c>
      <c r="J289" s="155">
        <f>G289*'Darba algas UZŅEMŠANĀ_jaunais'!$BB$8</f>
        <v>0</v>
      </c>
      <c r="K289" s="155">
        <f>H289*'Darba algas UZŅEMŠANĀ_jaunais'!$BA$8</f>
        <v>0</v>
      </c>
      <c r="M289" s="139">
        <f>F289*'Darba algas UZŅEMŠANĀ_jaunais'!$BA$41</f>
        <v>0</v>
      </c>
      <c r="N289" s="139"/>
    </row>
    <row r="290" spans="1:14" x14ac:dyDescent="0.25">
      <c r="A290" s="2"/>
      <c r="B290" s="2"/>
      <c r="C290" s="2" t="s">
        <v>15</v>
      </c>
      <c r="D290" s="2" t="s">
        <v>31</v>
      </c>
      <c r="E290" s="2" t="s">
        <v>69</v>
      </c>
      <c r="F290" s="2">
        <v>1</v>
      </c>
      <c r="G290" s="2">
        <v>1</v>
      </c>
      <c r="H290" s="2">
        <v>1</v>
      </c>
      <c r="I290" s="155">
        <f>F290*'Darba algas UZŅEMŠANĀ_jaunais'!$BD$8</f>
        <v>236019.93968050004</v>
      </c>
      <c r="J290" s="155">
        <f>G290*'Darba algas UZŅEMŠANĀ_jaunais'!$BB$8</f>
        <v>82058.352937500007</v>
      </c>
      <c r="K290" s="155">
        <f>H290*'Darba algas UZŅEMŠANĀ_jaunais'!$BA$8</f>
        <v>17357.755127250002</v>
      </c>
      <c r="M290" s="139">
        <f>F290*'Darba algas UZŅEMŠANĀ_jaunais'!$BA$41</f>
        <v>141154.49500000002</v>
      </c>
      <c r="N290" s="139"/>
    </row>
    <row r="291" spans="1:14" x14ac:dyDescent="0.25">
      <c r="A291" s="2"/>
      <c r="B291" s="2"/>
      <c r="C291" s="2" t="s">
        <v>31</v>
      </c>
      <c r="D291" s="188"/>
      <c r="E291" s="2" t="s">
        <v>68</v>
      </c>
      <c r="F291" s="2">
        <v>1</v>
      </c>
      <c r="G291" s="2">
        <v>0</v>
      </c>
      <c r="H291" s="2">
        <v>0</v>
      </c>
      <c r="I291" s="155">
        <f>F291*'Darba algas UZŅEMŠANĀ_jaunais'!$BD$8</f>
        <v>236019.93968050004</v>
      </c>
      <c r="J291" s="155">
        <f>G291*'Darba algas UZŅEMŠANĀ_jaunais'!$BB$8</f>
        <v>0</v>
      </c>
      <c r="K291" s="155">
        <f>H291*'Darba algas UZŅEMŠANĀ_jaunais'!$BA$8</f>
        <v>0</v>
      </c>
      <c r="M291" s="139">
        <f>F291*'Darba algas UZŅEMŠANĀ_jaunais'!$BA$41</f>
        <v>141154.49500000002</v>
      </c>
      <c r="N291" s="139"/>
    </row>
    <row r="292" spans="1:14" x14ac:dyDescent="0.25">
      <c r="A292" s="2"/>
      <c r="B292" s="2"/>
      <c r="C292" s="2"/>
      <c r="D292" s="188"/>
      <c r="E292" s="2" t="s">
        <v>70</v>
      </c>
      <c r="F292" s="2">
        <v>1</v>
      </c>
      <c r="G292" s="2">
        <v>0</v>
      </c>
      <c r="H292" s="2">
        <v>0</v>
      </c>
      <c r="I292" s="155">
        <f>F292*'Darba algas UZŅEMŠANĀ_jaunais'!$BD$10</f>
        <v>138971.89955050001</v>
      </c>
      <c r="J292" s="155">
        <f>G292*'Darba algas UZŅEMŠANĀ_jaunais'!$BB$10</f>
        <v>0</v>
      </c>
      <c r="K292" s="155">
        <f>H292*'Darba algas UZŅEMŠANĀ_jaunais'!$BA$10</f>
        <v>0</v>
      </c>
      <c r="M292" s="139">
        <f>F292*'Darba algas UZŅEMŠANĀ_jaunais'!$BA$48</f>
        <v>88297.795000000013</v>
      </c>
      <c r="N292" s="139"/>
    </row>
    <row r="293" spans="1:14" x14ac:dyDescent="0.25">
      <c r="A293" s="2"/>
      <c r="B293" s="2"/>
      <c r="C293" s="2"/>
      <c r="D293" s="188"/>
      <c r="E293" s="2" t="s">
        <v>87</v>
      </c>
      <c r="F293" s="2">
        <v>0</v>
      </c>
      <c r="G293" s="2">
        <v>0</v>
      </c>
      <c r="H293" s="2">
        <v>0</v>
      </c>
      <c r="I293" s="155">
        <f>F293*'Darba algas UZŅEMŠANĀ_jaunais'!$BD$8</f>
        <v>0</v>
      </c>
      <c r="J293" s="155">
        <f>G293*'Darba algas UZŅEMŠANĀ_jaunais'!$BB$8</f>
        <v>0</v>
      </c>
      <c r="K293" s="155">
        <f>H293*'Darba algas UZŅEMŠANĀ_jaunais'!$BA$8</f>
        <v>0</v>
      </c>
      <c r="M293" s="139">
        <f>F293*'Darba algas UZŅEMŠANĀ_jaunais'!$BA$41</f>
        <v>0</v>
      </c>
      <c r="N293" s="139"/>
    </row>
    <row r="294" spans="1:14" x14ac:dyDescent="0.25">
      <c r="A294" s="2"/>
      <c r="B294" s="2"/>
      <c r="C294" s="2"/>
      <c r="D294" s="188"/>
      <c r="E294" s="2" t="s">
        <v>72</v>
      </c>
      <c r="F294" s="2">
        <v>6</v>
      </c>
      <c r="G294" s="2">
        <v>1</v>
      </c>
      <c r="H294" s="2">
        <v>1</v>
      </c>
      <c r="I294" s="155">
        <f>F294*'Darba algas UZŅEMŠANĀ_jaunais'!$BD$10</f>
        <v>833831.39730300009</v>
      </c>
      <c r="J294" s="155">
        <f>G294*'Darba algas UZŅEMŠANĀ_jaunais'!$BB$10</f>
        <v>51330.789187500006</v>
      </c>
      <c r="K294" s="155">
        <f>H294*'Darba algas UZŅEMŠANĀ_jaunais'!$BA$10</f>
        <v>10857.971642250001</v>
      </c>
      <c r="M294" s="139">
        <f>F294*'Darba algas UZŅEMŠANĀ_jaunais'!$BA$48</f>
        <v>529786.77</v>
      </c>
      <c r="N294" s="139"/>
    </row>
    <row r="295" spans="1:14" x14ac:dyDescent="0.25">
      <c r="A295" s="2"/>
      <c r="B295" s="2"/>
      <c r="C295" s="2"/>
      <c r="D295" s="188"/>
      <c r="E295" s="2" t="s">
        <v>76</v>
      </c>
      <c r="F295" s="2">
        <v>2</v>
      </c>
      <c r="G295" s="2">
        <v>0</v>
      </c>
      <c r="H295" s="2">
        <v>0</v>
      </c>
      <c r="I295" s="155">
        <f>F295*'Darba algas UZŅEMŠANĀ_jaunais'!$BD$10</f>
        <v>277943.79910100001</v>
      </c>
      <c r="J295" s="155">
        <f>G295*'Darba algas UZŅEMŠANĀ_jaunais'!$BB$10</f>
        <v>0</v>
      </c>
      <c r="K295" s="155">
        <f>H295*'Darba algas UZŅEMŠANĀ_jaunais'!$BA$10</f>
        <v>0</v>
      </c>
      <c r="M295" s="139">
        <f>F295*'Darba algas UZŅEMŠANĀ_jaunais'!$BA$48</f>
        <v>176595.59000000003</v>
      </c>
      <c r="N295" s="139"/>
    </row>
    <row r="296" spans="1:14" x14ac:dyDescent="0.25">
      <c r="A296" s="2"/>
      <c r="B296" s="2"/>
      <c r="C296" s="2"/>
      <c r="D296" s="188"/>
      <c r="E296" s="2" t="s">
        <v>73</v>
      </c>
      <c r="F296" s="2">
        <v>6</v>
      </c>
      <c r="G296" s="2">
        <v>0</v>
      </c>
      <c r="H296" s="2">
        <v>0</v>
      </c>
      <c r="I296" s="155">
        <f>F296*'Darba algas UZŅEMŠANĀ_jaunais'!$BD$11</f>
        <v>553541.180865</v>
      </c>
      <c r="J296" s="155">
        <f>ROUND(G296*'Darba algas UZŅEMŠANĀ_jaunais'!$BA$11,0)</f>
        <v>0</v>
      </c>
      <c r="K296" s="155">
        <f>ROUND(H296*'Darba algas UZŅEMŠANĀ_jaunais'!$BB$11,0)</f>
        <v>0</v>
      </c>
      <c r="M296" s="139">
        <f>F296*'Darba algas UZŅEMŠANĀ_jaunais'!$BA$55</f>
        <v>351700.35</v>
      </c>
      <c r="N296" s="139"/>
    </row>
    <row r="297" spans="1:14" ht="12" thickBot="1" x14ac:dyDescent="0.3">
      <c r="A297" s="2"/>
      <c r="B297" s="2"/>
      <c r="C297" s="2"/>
      <c r="D297" s="188"/>
      <c r="E297" s="176" t="s">
        <v>77</v>
      </c>
      <c r="F297" s="176">
        <v>0</v>
      </c>
      <c r="G297" s="176">
        <v>0</v>
      </c>
      <c r="H297" s="176">
        <v>0</v>
      </c>
      <c r="I297" s="155">
        <f>ROUND(F297*'Darba algas UZŅEMŠANĀ_jaunais'!$BE$10,0)</f>
        <v>0</v>
      </c>
      <c r="J297" s="155">
        <f>G297*'Darba algas UZŅEMŠANĀ_jaunais'!$BB$10</f>
        <v>0</v>
      </c>
      <c r="K297" s="155">
        <f>H297*'Darba algas UZŅEMŠANĀ_jaunais'!$BA$10</f>
        <v>0</v>
      </c>
      <c r="M297" s="139">
        <f>F297*'Darba algas UZŅEMŠANĀ_jaunais'!$BA$48</f>
        <v>0</v>
      </c>
      <c r="N297" s="139"/>
    </row>
    <row r="298" spans="1:14" ht="12" thickBot="1" x14ac:dyDescent="0.3">
      <c r="A298" s="2"/>
      <c r="B298" s="2"/>
      <c r="D298" s="173" t="s">
        <v>179</v>
      </c>
      <c r="E298" s="174">
        <f>SUM(F298:H298)</f>
        <v>4152300.9873522506</v>
      </c>
      <c r="F298" s="175">
        <f>I281</f>
        <v>3692447.7942635003</v>
      </c>
      <c r="G298" s="175">
        <f>J281</f>
        <v>379564.20093750005</v>
      </c>
      <c r="H298" s="175">
        <f>K281</f>
        <v>80288.992151250015</v>
      </c>
      <c r="M298" s="139"/>
      <c r="N298" s="139"/>
    </row>
    <row r="299" spans="1:14" x14ac:dyDescent="0.25">
      <c r="A299" s="184" t="s">
        <v>93</v>
      </c>
      <c r="B299" s="5" t="s">
        <v>44</v>
      </c>
      <c r="C299" s="5" t="s">
        <v>9</v>
      </c>
      <c r="D299" s="5" t="s">
        <v>18</v>
      </c>
      <c r="E299" s="169" t="s">
        <v>80</v>
      </c>
      <c r="F299" s="5">
        <f>SUM(F300:F309,F311)</f>
        <v>2</v>
      </c>
      <c r="G299" s="5">
        <f>SUM(G300:G309,G311)</f>
        <v>1</v>
      </c>
      <c r="H299" s="5">
        <f>SUM(H300:H309,H311)</f>
        <v>0</v>
      </c>
      <c r="I299" s="170">
        <f>SUM(I300:I315)</f>
        <v>837449.36528699996</v>
      </c>
      <c r="J299" s="170">
        <f t="shared" ref="J299:K299" si="16">SUM(J300:J315)</f>
        <v>56514.070364250001</v>
      </c>
      <c r="K299" s="170">
        <f t="shared" si="16"/>
        <v>0</v>
      </c>
      <c r="L299" s="153">
        <f>SUM(I299:K299)</f>
        <v>893963.43565124995</v>
      </c>
      <c r="M299" s="139">
        <f>SUM(M300:M315)</f>
        <v>523281.33000000007</v>
      </c>
      <c r="N299" s="139">
        <f>(F299-1)*'Darba algas UZŅEMŠANĀ_jaunais'!BE15</f>
        <v>13856.88</v>
      </c>
    </row>
    <row r="300" spans="1:14" x14ac:dyDescent="0.25">
      <c r="A300" s="172"/>
      <c r="B300" s="2"/>
      <c r="C300" s="154" t="s">
        <v>10</v>
      </c>
      <c r="D300" s="2" t="s">
        <v>10</v>
      </c>
      <c r="E300" s="2" t="s">
        <v>64</v>
      </c>
      <c r="F300" s="2">
        <v>1</v>
      </c>
      <c r="G300" s="2">
        <v>0</v>
      </c>
      <c r="H300" s="2">
        <v>0</v>
      </c>
      <c r="I300" s="155">
        <f>F300*'Darba algas UZŅEMŠANĀ_jaunais'!$BD$8</f>
        <v>236019.93968050004</v>
      </c>
      <c r="J300" s="155">
        <f>G300*'Darba algas UZŅEMŠANĀ_jaunais'!$BB$8</f>
        <v>0</v>
      </c>
      <c r="K300" s="155">
        <f>H300*'Darba algas UZŅEMŠANĀ_jaunais'!$BA$8</f>
        <v>0</v>
      </c>
      <c r="M300" s="139">
        <f>F300*'Darba algas UZŅEMŠANĀ_jaunais'!$BA$41</f>
        <v>141154.49500000002</v>
      </c>
      <c r="N300" s="139"/>
    </row>
    <row r="301" spans="1:14" x14ac:dyDescent="0.25">
      <c r="A301" s="172"/>
      <c r="B301" s="2"/>
      <c r="D301" s="2"/>
      <c r="E301" s="2" t="s">
        <v>82</v>
      </c>
      <c r="F301" s="2">
        <v>0</v>
      </c>
      <c r="G301" s="2">
        <v>0</v>
      </c>
      <c r="H301" s="2">
        <v>0</v>
      </c>
      <c r="I301" s="155">
        <f>F301*'Darba algas UZŅEMŠANĀ_jaunais'!$BD$8</f>
        <v>0</v>
      </c>
      <c r="J301" s="155">
        <f>G301*'Darba algas UZŅEMŠANĀ_jaunais'!$BB$8</f>
        <v>0</v>
      </c>
      <c r="K301" s="155">
        <f>H301*'Darba algas UZŅEMŠANĀ_jaunais'!$BA$8</f>
        <v>0</v>
      </c>
      <c r="M301" s="139">
        <f>F301*'Darba algas UZŅEMŠANĀ_jaunais'!$BA$41</f>
        <v>0</v>
      </c>
      <c r="N301" s="139"/>
    </row>
    <row r="302" spans="1:14" ht="14.5" x14ac:dyDescent="0.35">
      <c r="A302" s="172"/>
      <c r="B302" s="2"/>
      <c r="D302" s="2"/>
      <c r="E302" s="2" t="s">
        <v>202</v>
      </c>
      <c r="F302" s="197">
        <v>0</v>
      </c>
      <c r="G302" s="2">
        <v>1</v>
      </c>
      <c r="H302" s="2">
        <v>0</v>
      </c>
      <c r="I302" s="155">
        <f>F302*'Darba algas UZŅEMŠANĀ_jaunais'!$BD$8</f>
        <v>0</v>
      </c>
      <c r="J302" s="155">
        <f>G302*'Darba algas UZŅEMŠANĀ_jaunais'!$BC$8</f>
        <v>56514.070364250001</v>
      </c>
      <c r="K302" s="155">
        <f>H302*'Darba algas UZŅEMŠANĀ_jaunais'!$BA$8</f>
        <v>0</v>
      </c>
      <c r="M302" s="141">
        <f>F302*'Darba algas UZŅEMŠANĀ_jaunais'!$BA$41</f>
        <v>0</v>
      </c>
      <c r="N302" s="139"/>
    </row>
    <row r="303" spans="1:14" x14ac:dyDescent="0.25">
      <c r="A303" s="172"/>
      <c r="B303" s="2"/>
      <c r="D303" s="2"/>
      <c r="E303" s="2" t="s">
        <v>83</v>
      </c>
      <c r="F303" s="2">
        <v>0</v>
      </c>
      <c r="G303" s="2">
        <v>0</v>
      </c>
      <c r="H303" s="2">
        <v>0</v>
      </c>
      <c r="I303" s="155">
        <f>F303*'Darba algas UZŅEMŠANĀ_jaunais'!$BD$8</f>
        <v>0</v>
      </c>
      <c r="J303" s="155">
        <f>G303*'Darba algas UZŅEMŠANĀ_jaunais'!$BB$8</f>
        <v>0</v>
      </c>
      <c r="K303" s="155">
        <f>H303*'Darba algas UZŅEMŠANĀ_jaunais'!$BA$8</f>
        <v>0</v>
      </c>
      <c r="M303" s="139">
        <f>F303*'Darba algas UZŅEMŠANĀ_jaunais'!$BA$41</f>
        <v>0</v>
      </c>
      <c r="N303" s="139"/>
    </row>
    <row r="304" spans="1:14" x14ac:dyDescent="0.25">
      <c r="A304" s="172"/>
      <c r="B304" s="2"/>
      <c r="D304" s="2"/>
      <c r="E304" s="2" t="s">
        <v>66</v>
      </c>
      <c r="F304" s="2">
        <v>0</v>
      </c>
      <c r="G304" s="2">
        <v>0</v>
      </c>
      <c r="H304" s="2">
        <v>0</v>
      </c>
      <c r="I304" s="155">
        <f>F304*'Darba algas UZŅEMŠANĀ_jaunais'!$BD$8</f>
        <v>0</v>
      </c>
      <c r="J304" s="155">
        <f>G304*'Darba algas UZŅEMŠANĀ_jaunais'!$BB$8</f>
        <v>0</v>
      </c>
      <c r="K304" s="155">
        <f>H304*'Darba algas UZŅEMŠANĀ_jaunais'!$BA$8</f>
        <v>0</v>
      </c>
      <c r="M304" s="139">
        <f>F304*'Darba algas UZŅEMŠANĀ_jaunais'!$BA$41</f>
        <v>0</v>
      </c>
      <c r="N304" s="139"/>
    </row>
    <row r="305" spans="1:14" x14ac:dyDescent="0.25">
      <c r="A305" s="172"/>
      <c r="B305" s="2"/>
      <c r="D305" s="2"/>
      <c r="E305" s="2" t="s">
        <v>67</v>
      </c>
      <c r="F305" s="2">
        <v>0</v>
      </c>
      <c r="G305" s="2">
        <v>0</v>
      </c>
      <c r="H305" s="2">
        <v>0</v>
      </c>
      <c r="I305" s="155">
        <f>F305*'Darba algas UZŅEMŠANĀ_jaunais'!$BD$8</f>
        <v>0</v>
      </c>
      <c r="J305" s="155">
        <f>G305*'Darba algas UZŅEMŠANĀ_jaunais'!$BB$8</f>
        <v>0</v>
      </c>
      <c r="K305" s="155">
        <f>H305*'Darba algas UZŅEMŠANĀ_jaunais'!$BA$8</f>
        <v>0</v>
      </c>
      <c r="M305" s="139">
        <f>F305*'Darba algas UZŅEMŠANĀ_jaunais'!$BA$41</f>
        <v>0</v>
      </c>
      <c r="N305" s="139"/>
    </row>
    <row r="306" spans="1:14" x14ac:dyDescent="0.25">
      <c r="A306" s="172"/>
      <c r="B306" s="2"/>
      <c r="D306" s="2"/>
      <c r="E306" s="2" t="s">
        <v>74</v>
      </c>
      <c r="F306" s="2">
        <v>0</v>
      </c>
      <c r="G306" s="2">
        <v>0</v>
      </c>
      <c r="H306" s="2">
        <v>0</v>
      </c>
      <c r="I306" s="155">
        <f>F306*'Darba algas UZŅEMŠANĀ_jaunais'!$BD$8</f>
        <v>0</v>
      </c>
      <c r="J306" s="155">
        <f>G306*'Darba algas UZŅEMŠANĀ_jaunais'!$BB$8</f>
        <v>0</v>
      </c>
      <c r="K306" s="155">
        <f>H306*'Darba algas UZŅEMŠANĀ_jaunais'!$BA$8</f>
        <v>0</v>
      </c>
      <c r="M306" s="139">
        <f>F306*'Darba algas UZŅEMŠANĀ_jaunais'!$BA$41</f>
        <v>0</v>
      </c>
      <c r="N306" s="139"/>
    </row>
    <row r="307" spans="1:14" x14ac:dyDescent="0.25">
      <c r="A307" s="172"/>
      <c r="B307" s="2"/>
      <c r="D307" s="2"/>
      <c r="E307" s="2" t="s">
        <v>75</v>
      </c>
      <c r="F307" s="2">
        <v>0</v>
      </c>
      <c r="G307" s="2">
        <v>0</v>
      </c>
      <c r="H307" s="2">
        <v>0</v>
      </c>
      <c r="I307" s="155">
        <f>F307*'Darba algas UZŅEMŠANĀ_jaunais'!$BD$8</f>
        <v>0</v>
      </c>
      <c r="J307" s="155">
        <f>G307*'Darba algas UZŅEMŠANĀ_jaunais'!$BB$8</f>
        <v>0</v>
      </c>
      <c r="K307" s="155">
        <f>H307*'Darba algas UZŅEMŠANĀ_jaunais'!$BA$8</f>
        <v>0</v>
      </c>
      <c r="M307" s="139">
        <f>F307*'Darba algas UZŅEMŠANĀ_jaunais'!$BA$41</f>
        <v>0</v>
      </c>
      <c r="N307" s="139"/>
    </row>
    <row r="308" spans="1:14" x14ac:dyDescent="0.25">
      <c r="A308" s="172"/>
      <c r="B308" s="2"/>
      <c r="D308" s="2"/>
      <c r="E308" s="2" t="s">
        <v>69</v>
      </c>
      <c r="F308" s="2">
        <v>0</v>
      </c>
      <c r="G308" s="2">
        <v>0</v>
      </c>
      <c r="H308" s="2">
        <v>0</v>
      </c>
      <c r="I308" s="155">
        <f>F308*'Darba algas UZŅEMŠANĀ_jaunais'!$BD$8</f>
        <v>0</v>
      </c>
      <c r="J308" s="155">
        <f>G308*'Darba algas UZŅEMŠANĀ_jaunais'!$BB$8</f>
        <v>0</v>
      </c>
      <c r="K308" s="155">
        <f>H308*'Darba algas UZŅEMŠANĀ_jaunais'!$BA$8</f>
        <v>0</v>
      </c>
      <c r="M308" s="139">
        <f>F308*'Darba algas UZŅEMŠANĀ_jaunais'!$BA$41</f>
        <v>0</v>
      </c>
      <c r="N308" s="139"/>
    </row>
    <row r="309" spans="1:14" ht="14.5" x14ac:dyDescent="0.35">
      <c r="A309" s="172"/>
      <c r="B309" s="2"/>
      <c r="D309" s="2"/>
      <c r="E309" s="2" t="s">
        <v>207</v>
      </c>
      <c r="F309" s="197">
        <v>1</v>
      </c>
      <c r="G309" s="2">
        <v>0</v>
      </c>
      <c r="H309" s="2">
        <v>0</v>
      </c>
      <c r="I309" s="374">
        <v>0</v>
      </c>
      <c r="J309" s="155">
        <f>G309*'Darba algas UZŅEMŠANĀ_jaunais'!$BB$8</f>
        <v>0</v>
      </c>
      <c r="K309" s="155">
        <f>H309*'Darba algas UZŅEMŠANĀ_jaunais'!$BA$8</f>
        <v>0</v>
      </c>
      <c r="M309" s="141">
        <v>0</v>
      </c>
      <c r="N309" s="139"/>
    </row>
    <row r="310" spans="1:14" x14ac:dyDescent="0.25">
      <c r="A310" s="172"/>
      <c r="B310" s="2"/>
      <c r="D310" s="2"/>
      <c r="E310" s="2" t="s">
        <v>70</v>
      </c>
      <c r="F310" s="2">
        <v>1</v>
      </c>
      <c r="G310" s="2">
        <v>0</v>
      </c>
      <c r="H310" s="2">
        <v>0</v>
      </c>
      <c r="I310" s="155">
        <f>F310*'Darba algas UZŅEMŠANĀ_jaunais'!$BD$10</f>
        <v>138971.89955050001</v>
      </c>
      <c r="J310" s="155">
        <f>G310*'Darba algas UZŅEMŠANĀ_jaunais'!$BB$10</f>
        <v>0</v>
      </c>
      <c r="K310" s="155">
        <f>H310*'Darba algas UZŅEMŠANĀ_jaunais'!$BA$10</f>
        <v>0</v>
      </c>
      <c r="M310" s="139">
        <f>F310*'Darba algas UZŅEMŠANĀ_jaunais'!$BA$48</f>
        <v>88297.795000000013</v>
      </c>
      <c r="N310" s="139"/>
    </row>
    <row r="311" spans="1:14" x14ac:dyDescent="0.25">
      <c r="A311" s="172"/>
      <c r="B311" s="2"/>
      <c r="D311" s="2"/>
      <c r="E311" s="2" t="s">
        <v>87</v>
      </c>
      <c r="F311" s="2">
        <v>0</v>
      </c>
      <c r="G311" s="2">
        <v>0</v>
      </c>
      <c r="H311" s="2">
        <v>0</v>
      </c>
      <c r="I311" s="155">
        <f>F311*'Darba algas UZŅEMŠANĀ_jaunais'!$BD$8</f>
        <v>0</v>
      </c>
      <c r="J311" s="155">
        <f>G311*'Darba algas UZŅEMŠANĀ_jaunais'!$BB$8</f>
        <v>0</v>
      </c>
      <c r="K311" s="155">
        <f>H311*'Darba algas UZŅEMŠANĀ_jaunais'!$BA$8</f>
        <v>0</v>
      </c>
      <c r="M311" s="139">
        <f>F311*'Darba algas UZŅEMŠANĀ_jaunais'!$BA$41</f>
        <v>0</v>
      </c>
      <c r="N311" s="139"/>
    </row>
    <row r="312" spans="1:14" x14ac:dyDescent="0.25">
      <c r="A312" s="172"/>
      <c r="B312" s="2"/>
      <c r="D312" s="2"/>
      <c r="E312" s="2" t="s">
        <v>72</v>
      </c>
      <c r="F312" s="2">
        <v>2</v>
      </c>
      <c r="G312" s="2">
        <v>0</v>
      </c>
      <c r="H312" s="2">
        <v>0</v>
      </c>
      <c r="I312" s="155">
        <f>F312*'Darba algas UZŅEMŠANĀ_jaunais'!$BD$10</f>
        <v>277943.79910100001</v>
      </c>
      <c r="J312" s="155">
        <f>G312*'Darba algas UZŅEMŠANĀ_jaunais'!$BB$10</f>
        <v>0</v>
      </c>
      <c r="K312" s="155">
        <f>H312*'Darba algas UZŅEMŠANĀ_jaunais'!$BA$10</f>
        <v>0</v>
      </c>
      <c r="M312" s="139">
        <f>F312*'Darba algas UZŅEMŠANĀ_jaunais'!$BA$48</f>
        <v>176595.59000000003</v>
      </c>
      <c r="N312" s="139"/>
    </row>
    <row r="313" spans="1:14" x14ac:dyDescent="0.25">
      <c r="A313" s="172"/>
      <c r="B313" s="2"/>
      <c r="D313" s="2"/>
      <c r="E313" s="2" t="s">
        <v>76</v>
      </c>
      <c r="F313" s="2">
        <v>0</v>
      </c>
      <c r="G313" s="2">
        <v>0</v>
      </c>
      <c r="H313" s="2">
        <v>0</v>
      </c>
      <c r="I313" s="155">
        <f>F313*'Darba algas UZŅEMŠANĀ_jaunais'!$BD$10</f>
        <v>0</v>
      </c>
      <c r="J313" s="155">
        <f>G313*'Darba algas UZŅEMŠANĀ_jaunais'!$BB$10</f>
        <v>0</v>
      </c>
      <c r="K313" s="155">
        <f>H313*'Darba algas UZŅEMŠANĀ_jaunais'!$BA$10</f>
        <v>0</v>
      </c>
      <c r="M313" s="139">
        <f>F313*'Darba algas UZŅEMŠANĀ_jaunais'!$BA$48</f>
        <v>0</v>
      </c>
      <c r="N313" s="139"/>
    </row>
    <row r="314" spans="1:14" x14ac:dyDescent="0.25">
      <c r="A314" s="172"/>
      <c r="B314" s="2"/>
      <c r="D314" s="2"/>
      <c r="E314" s="2" t="s">
        <v>73</v>
      </c>
      <c r="F314" s="2">
        <v>2</v>
      </c>
      <c r="G314" s="2">
        <v>0</v>
      </c>
      <c r="H314" s="2">
        <v>0</v>
      </c>
      <c r="I314" s="155">
        <f>F314*'Darba algas UZŅEMŠANĀ_jaunais'!$BD$11</f>
        <v>184513.72695499999</v>
      </c>
      <c r="J314" s="155">
        <f>ROUND(G314*'Darba algas UZŅEMŠANĀ_jaunais'!$BA$11,0)</f>
        <v>0</v>
      </c>
      <c r="K314" s="155">
        <f>ROUND(H314*'Darba algas UZŅEMŠANĀ_jaunais'!$BB$11,0)</f>
        <v>0</v>
      </c>
      <c r="M314" s="139">
        <f>F314*'Darba algas UZŅEMŠANĀ_jaunais'!$BA$55</f>
        <v>117233.45</v>
      </c>
      <c r="N314" s="139"/>
    </row>
    <row r="315" spans="1:14" ht="12" thickBot="1" x14ac:dyDescent="0.3">
      <c r="A315" s="172"/>
      <c r="B315" s="2"/>
      <c r="D315" s="2"/>
      <c r="E315" s="176" t="s">
        <v>77</v>
      </c>
      <c r="F315" s="176">
        <v>0</v>
      </c>
      <c r="G315" s="176">
        <v>0</v>
      </c>
      <c r="H315" s="176">
        <v>0</v>
      </c>
      <c r="I315" s="155">
        <f>ROUND(F315*'Darba algas UZŅEMŠANĀ_jaunais'!$BE$10,0)</f>
        <v>0</v>
      </c>
      <c r="J315" s="155">
        <f>G315*'Darba algas UZŅEMŠANĀ_jaunais'!$BB$10</f>
        <v>0</v>
      </c>
      <c r="K315" s="155">
        <f>H315*'Darba algas UZŅEMŠANĀ_jaunais'!$BA$10</f>
        <v>0</v>
      </c>
      <c r="M315" s="139">
        <f>F315*'Darba algas UZŅEMŠANĀ_jaunais'!$BA$48</f>
        <v>0</v>
      </c>
      <c r="N315" s="139"/>
    </row>
    <row r="316" spans="1:14" ht="12" thickBot="1" x14ac:dyDescent="0.3">
      <c r="A316" s="2"/>
      <c r="B316" s="2"/>
      <c r="D316" s="173" t="s">
        <v>179</v>
      </c>
      <c r="E316" s="174">
        <f>SUM(F316:H316)</f>
        <v>893963.43565124995</v>
      </c>
      <c r="F316" s="175">
        <f>I299</f>
        <v>837449.36528699996</v>
      </c>
      <c r="G316" s="175">
        <f>J299</f>
        <v>56514.070364250001</v>
      </c>
      <c r="H316" s="175">
        <f>K299</f>
        <v>0</v>
      </c>
      <c r="M316" s="139"/>
      <c r="N316" s="139"/>
    </row>
    <row r="317" spans="1:14" x14ac:dyDescent="0.25">
      <c r="A317" s="184" t="s">
        <v>93</v>
      </c>
      <c r="B317" s="5" t="s">
        <v>45</v>
      </c>
      <c r="C317" s="5" t="s">
        <v>9</v>
      </c>
      <c r="D317" s="5" t="s">
        <v>18</v>
      </c>
      <c r="E317" s="169" t="s">
        <v>80</v>
      </c>
      <c r="F317" s="5">
        <f>SUM(F318:F327,F329)</f>
        <v>2</v>
      </c>
      <c r="G317" s="5">
        <f>SUM(G318:G327,G329)</f>
        <v>1</v>
      </c>
      <c r="H317" s="5">
        <f>SUM(H318:H327,H329)</f>
        <v>0</v>
      </c>
      <c r="I317" s="170">
        <f>SUM(I318:I333)</f>
        <v>837449.36528699996</v>
      </c>
      <c r="J317" s="170">
        <f t="shared" ref="J317:K317" si="17">SUM(J318:J333)</f>
        <v>56514.070364250001</v>
      </c>
      <c r="K317" s="170">
        <f t="shared" si="17"/>
        <v>0</v>
      </c>
      <c r="L317" s="153">
        <f>SUM(I317:K317)</f>
        <v>893963.43565124995</v>
      </c>
      <c r="M317" s="139">
        <f>SUM(M318:M333)</f>
        <v>523281.33000000007</v>
      </c>
      <c r="N317" s="139">
        <f>(F317-1)*'Darba algas UZŅEMŠANĀ_jaunais'!BE15</f>
        <v>13856.88</v>
      </c>
    </row>
    <row r="318" spans="1:14" x14ac:dyDescent="0.25">
      <c r="A318" s="172"/>
      <c r="B318" s="2"/>
      <c r="C318" s="2" t="s">
        <v>10</v>
      </c>
      <c r="D318" s="2" t="s">
        <v>10</v>
      </c>
      <c r="E318" s="2" t="s">
        <v>64</v>
      </c>
      <c r="F318" s="2">
        <v>1</v>
      </c>
      <c r="G318" s="2">
        <v>0</v>
      </c>
      <c r="H318" s="2">
        <v>0</v>
      </c>
      <c r="I318" s="155">
        <f>F318*'Darba algas UZŅEMŠANĀ_jaunais'!$BD$8</f>
        <v>236019.93968050004</v>
      </c>
      <c r="J318" s="155">
        <f>G318*'Darba algas UZŅEMŠANĀ_jaunais'!$BB$8</f>
        <v>0</v>
      </c>
      <c r="K318" s="155">
        <f>H318*'Darba algas UZŅEMŠANĀ_jaunais'!$BA$8</f>
        <v>0</v>
      </c>
      <c r="M318" s="139">
        <f>F318*'Darba algas UZŅEMŠANĀ_jaunais'!$BA$41</f>
        <v>141154.49500000002</v>
      </c>
      <c r="N318" s="139"/>
    </row>
    <row r="319" spans="1:14" x14ac:dyDescent="0.25">
      <c r="A319" s="172"/>
      <c r="B319" s="2"/>
      <c r="C319" s="2"/>
      <c r="D319" s="2"/>
      <c r="E319" s="2" t="s">
        <v>82</v>
      </c>
      <c r="F319" s="2">
        <v>0</v>
      </c>
      <c r="G319" s="2">
        <v>0</v>
      </c>
      <c r="H319" s="2">
        <v>0</v>
      </c>
      <c r="I319" s="155">
        <f>F319*'Darba algas UZŅEMŠANĀ_jaunais'!$BD$8</f>
        <v>0</v>
      </c>
      <c r="J319" s="155">
        <f>G319*'Darba algas UZŅEMŠANĀ_jaunais'!$BB$8</f>
        <v>0</v>
      </c>
      <c r="K319" s="155">
        <f>H319*'Darba algas UZŅEMŠANĀ_jaunais'!$BA$8</f>
        <v>0</v>
      </c>
      <c r="M319" s="139">
        <f>F319*'Darba algas UZŅEMŠANĀ_jaunais'!$BA$41</f>
        <v>0</v>
      </c>
      <c r="N319" s="139"/>
    </row>
    <row r="320" spans="1:14" ht="14.5" x14ac:dyDescent="0.35">
      <c r="A320" s="172"/>
      <c r="B320" s="2"/>
      <c r="C320" s="2"/>
      <c r="D320" s="2"/>
      <c r="E320" s="2" t="s">
        <v>202</v>
      </c>
      <c r="F320" s="197">
        <v>0</v>
      </c>
      <c r="G320" s="2">
        <v>1</v>
      </c>
      <c r="H320" s="2">
        <v>0</v>
      </c>
      <c r="I320" s="155">
        <f>F320*'Darba algas UZŅEMŠANĀ_jaunais'!$BD$8</f>
        <v>0</v>
      </c>
      <c r="J320" s="155">
        <f>G320*'Darba algas UZŅEMŠANĀ_jaunais'!$BC$8</f>
        <v>56514.070364250001</v>
      </c>
      <c r="K320" s="155">
        <f>H320*'Darba algas UZŅEMŠANĀ_jaunais'!$BA$8</f>
        <v>0</v>
      </c>
      <c r="M320" s="141">
        <f>F320*'Darba algas UZŅEMŠANĀ_jaunais'!$BA$41</f>
        <v>0</v>
      </c>
      <c r="N320" s="139"/>
    </row>
    <row r="321" spans="1:14" x14ac:dyDescent="0.25">
      <c r="A321" s="172"/>
      <c r="B321" s="2"/>
      <c r="C321" s="2"/>
      <c r="D321" s="2"/>
      <c r="E321" s="2" t="s">
        <v>83</v>
      </c>
      <c r="F321" s="2">
        <v>0</v>
      </c>
      <c r="G321" s="2">
        <v>0</v>
      </c>
      <c r="H321" s="2">
        <v>0</v>
      </c>
      <c r="I321" s="155">
        <f>F321*'Darba algas UZŅEMŠANĀ_jaunais'!$BD$8</f>
        <v>0</v>
      </c>
      <c r="J321" s="155">
        <f>G321*'Darba algas UZŅEMŠANĀ_jaunais'!$BB$8</f>
        <v>0</v>
      </c>
      <c r="K321" s="155">
        <f>H321*'Darba algas UZŅEMŠANĀ_jaunais'!$BA$8</f>
        <v>0</v>
      </c>
      <c r="M321" s="139">
        <f>F321*'Darba algas UZŅEMŠANĀ_jaunais'!$BA$41</f>
        <v>0</v>
      </c>
      <c r="N321" s="139"/>
    </row>
    <row r="322" spans="1:14" x14ac:dyDescent="0.25">
      <c r="A322" s="172"/>
      <c r="B322" s="2"/>
      <c r="C322" s="2"/>
      <c r="D322" s="2"/>
      <c r="E322" s="2" t="s">
        <v>66</v>
      </c>
      <c r="F322" s="2">
        <v>0</v>
      </c>
      <c r="G322" s="2">
        <v>0</v>
      </c>
      <c r="H322" s="2">
        <v>0</v>
      </c>
      <c r="I322" s="155">
        <f>F322*'Darba algas UZŅEMŠANĀ_jaunais'!$BD$8</f>
        <v>0</v>
      </c>
      <c r="J322" s="155">
        <f>G322*'Darba algas UZŅEMŠANĀ_jaunais'!$BB$8</f>
        <v>0</v>
      </c>
      <c r="K322" s="155">
        <f>H322*'Darba algas UZŅEMŠANĀ_jaunais'!$BA$8</f>
        <v>0</v>
      </c>
      <c r="M322" s="139">
        <f>F322*'Darba algas UZŅEMŠANĀ_jaunais'!$BA$41</f>
        <v>0</v>
      </c>
      <c r="N322" s="139"/>
    </row>
    <row r="323" spans="1:14" x14ac:dyDescent="0.25">
      <c r="A323" s="172"/>
      <c r="B323" s="2"/>
      <c r="C323" s="2"/>
      <c r="D323" s="2"/>
      <c r="E323" s="2" t="s">
        <v>67</v>
      </c>
      <c r="F323" s="2">
        <v>0</v>
      </c>
      <c r="G323" s="2">
        <v>0</v>
      </c>
      <c r="H323" s="2">
        <v>0</v>
      </c>
      <c r="I323" s="155">
        <f>F323*'Darba algas UZŅEMŠANĀ_jaunais'!$BD$8</f>
        <v>0</v>
      </c>
      <c r="J323" s="155">
        <f>G323*'Darba algas UZŅEMŠANĀ_jaunais'!$BB$8</f>
        <v>0</v>
      </c>
      <c r="K323" s="155">
        <f>H323*'Darba algas UZŅEMŠANĀ_jaunais'!$BA$8</f>
        <v>0</v>
      </c>
      <c r="M323" s="139">
        <f>F323*'Darba algas UZŅEMŠANĀ_jaunais'!$BA$41</f>
        <v>0</v>
      </c>
      <c r="N323" s="139"/>
    </row>
    <row r="324" spans="1:14" x14ac:dyDescent="0.25">
      <c r="A324" s="172"/>
      <c r="B324" s="2"/>
      <c r="C324" s="2"/>
      <c r="D324" s="2"/>
      <c r="E324" s="2" t="s">
        <v>74</v>
      </c>
      <c r="F324" s="2">
        <v>0</v>
      </c>
      <c r="G324" s="2">
        <v>0</v>
      </c>
      <c r="H324" s="2">
        <v>0</v>
      </c>
      <c r="I324" s="155">
        <f>F324*'Darba algas UZŅEMŠANĀ_jaunais'!$BD$8</f>
        <v>0</v>
      </c>
      <c r="J324" s="155">
        <f>G324*'Darba algas UZŅEMŠANĀ_jaunais'!$BB$8</f>
        <v>0</v>
      </c>
      <c r="K324" s="155">
        <f>H324*'Darba algas UZŅEMŠANĀ_jaunais'!$BA$8</f>
        <v>0</v>
      </c>
      <c r="M324" s="139">
        <f>F324*'Darba algas UZŅEMŠANĀ_jaunais'!$BA$41</f>
        <v>0</v>
      </c>
      <c r="N324" s="139"/>
    </row>
    <row r="325" spans="1:14" x14ac:dyDescent="0.25">
      <c r="A325" s="172"/>
      <c r="B325" s="2"/>
      <c r="C325" s="2"/>
      <c r="D325" s="2"/>
      <c r="E325" s="2" t="s">
        <v>75</v>
      </c>
      <c r="F325" s="2">
        <v>0</v>
      </c>
      <c r="G325" s="2">
        <v>0</v>
      </c>
      <c r="H325" s="2">
        <v>0</v>
      </c>
      <c r="I325" s="155">
        <f>F325*'Darba algas UZŅEMŠANĀ_jaunais'!$BD$8</f>
        <v>0</v>
      </c>
      <c r="J325" s="155">
        <f>G325*'Darba algas UZŅEMŠANĀ_jaunais'!$BB$8</f>
        <v>0</v>
      </c>
      <c r="K325" s="155">
        <f>H325*'Darba algas UZŅEMŠANĀ_jaunais'!$BA$8</f>
        <v>0</v>
      </c>
      <c r="M325" s="139">
        <f>F325*'Darba algas UZŅEMŠANĀ_jaunais'!$BA$41</f>
        <v>0</v>
      </c>
      <c r="N325" s="139"/>
    </row>
    <row r="326" spans="1:14" x14ac:dyDescent="0.25">
      <c r="A326" s="172"/>
      <c r="B326" s="2"/>
      <c r="C326" s="2"/>
      <c r="D326" s="2"/>
      <c r="E326" s="2" t="s">
        <v>69</v>
      </c>
      <c r="F326" s="2">
        <v>0</v>
      </c>
      <c r="G326" s="2">
        <v>0</v>
      </c>
      <c r="H326" s="2">
        <v>0</v>
      </c>
      <c r="I326" s="155">
        <f>F326*'Darba algas UZŅEMŠANĀ_jaunais'!$BD$8</f>
        <v>0</v>
      </c>
      <c r="J326" s="155">
        <f>G326*'Darba algas UZŅEMŠANĀ_jaunais'!$BB$8</f>
        <v>0</v>
      </c>
      <c r="K326" s="155">
        <f>H326*'Darba algas UZŅEMŠANĀ_jaunais'!$BA$8</f>
        <v>0</v>
      </c>
      <c r="M326" s="139">
        <f>F326*'Darba algas UZŅEMŠANĀ_jaunais'!$BA$41</f>
        <v>0</v>
      </c>
      <c r="N326" s="139"/>
    </row>
    <row r="327" spans="1:14" ht="14.5" x14ac:dyDescent="0.35">
      <c r="A327" s="172"/>
      <c r="B327" s="2"/>
      <c r="C327" s="2"/>
      <c r="D327" s="2"/>
      <c r="E327" s="2" t="s">
        <v>207</v>
      </c>
      <c r="F327" s="197">
        <v>1</v>
      </c>
      <c r="G327" s="2">
        <v>0</v>
      </c>
      <c r="H327" s="2">
        <v>0</v>
      </c>
      <c r="I327" s="374">
        <v>0</v>
      </c>
      <c r="J327" s="155">
        <f>G327*'Darba algas UZŅEMŠANĀ_jaunais'!$BB$8</f>
        <v>0</v>
      </c>
      <c r="K327" s="155">
        <f>H327*'Darba algas UZŅEMŠANĀ_jaunais'!$BA$8</f>
        <v>0</v>
      </c>
      <c r="M327" s="141">
        <v>0</v>
      </c>
      <c r="N327" s="139"/>
    </row>
    <row r="328" spans="1:14" x14ac:dyDescent="0.25">
      <c r="A328" s="172"/>
      <c r="B328" s="2"/>
      <c r="C328" s="2"/>
      <c r="D328" s="2"/>
      <c r="E328" s="2" t="s">
        <v>70</v>
      </c>
      <c r="F328" s="2">
        <v>1</v>
      </c>
      <c r="G328" s="2">
        <v>0</v>
      </c>
      <c r="H328" s="2">
        <v>0</v>
      </c>
      <c r="I328" s="155">
        <f>F328*'Darba algas UZŅEMŠANĀ_jaunais'!$BD$10</f>
        <v>138971.89955050001</v>
      </c>
      <c r="J328" s="155">
        <f>G328*'Darba algas UZŅEMŠANĀ_jaunais'!$BB$10</f>
        <v>0</v>
      </c>
      <c r="K328" s="155">
        <f>H328*'Darba algas UZŅEMŠANĀ_jaunais'!$BA$10</f>
        <v>0</v>
      </c>
      <c r="M328" s="139">
        <f>F328*'Darba algas UZŅEMŠANĀ_jaunais'!$BA$48</f>
        <v>88297.795000000013</v>
      </c>
      <c r="N328" s="139"/>
    </row>
    <row r="329" spans="1:14" x14ac:dyDescent="0.25">
      <c r="A329" s="172"/>
      <c r="B329" s="2"/>
      <c r="C329" s="2"/>
      <c r="D329" s="2"/>
      <c r="E329" s="2" t="s">
        <v>87</v>
      </c>
      <c r="F329" s="2">
        <v>0</v>
      </c>
      <c r="G329" s="2">
        <v>0</v>
      </c>
      <c r="H329" s="2">
        <v>0</v>
      </c>
      <c r="I329" s="155">
        <f>F329*'Darba algas UZŅEMŠANĀ_jaunais'!$BD$8</f>
        <v>0</v>
      </c>
      <c r="J329" s="155">
        <f>G329*'Darba algas UZŅEMŠANĀ_jaunais'!$BB$8</f>
        <v>0</v>
      </c>
      <c r="K329" s="155">
        <f>H329*'Darba algas UZŅEMŠANĀ_jaunais'!$BA$8</f>
        <v>0</v>
      </c>
      <c r="M329" s="139">
        <f>F329*'Darba algas UZŅEMŠANĀ_jaunais'!$BA$41</f>
        <v>0</v>
      </c>
      <c r="N329" s="139"/>
    </row>
    <row r="330" spans="1:14" x14ac:dyDescent="0.25">
      <c r="A330" s="172"/>
      <c r="B330" s="2"/>
      <c r="C330" s="2"/>
      <c r="D330" s="2"/>
      <c r="E330" s="2" t="s">
        <v>72</v>
      </c>
      <c r="F330" s="2">
        <v>2</v>
      </c>
      <c r="G330" s="2">
        <v>0</v>
      </c>
      <c r="H330" s="2">
        <v>0</v>
      </c>
      <c r="I330" s="155">
        <f>F330*'Darba algas UZŅEMŠANĀ_jaunais'!$BD$10</f>
        <v>277943.79910100001</v>
      </c>
      <c r="J330" s="155">
        <f>G330*'Darba algas UZŅEMŠANĀ_jaunais'!$BB$10</f>
        <v>0</v>
      </c>
      <c r="K330" s="155">
        <f>H330*'Darba algas UZŅEMŠANĀ_jaunais'!$BA$10</f>
        <v>0</v>
      </c>
      <c r="M330" s="139">
        <f>F330*'Darba algas UZŅEMŠANĀ_jaunais'!$BA$48</f>
        <v>176595.59000000003</v>
      </c>
      <c r="N330" s="139"/>
    </row>
    <row r="331" spans="1:14" x14ac:dyDescent="0.25">
      <c r="A331" s="172"/>
      <c r="B331" s="2"/>
      <c r="C331" s="2"/>
      <c r="D331" s="2"/>
      <c r="E331" s="2" t="s">
        <v>76</v>
      </c>
      <c r="F331" s="2">
        <v>0</v>
      </c>
      <c r="G331" s="2">
        <v>0</v>
      </c>
      <c r="H331" s="2">
        <v>0</v>
      </c>
      <c r="I331" s="155">
        <f>F331*'Darba algas UZŅEMŠANĀ_jaunais'!$BD$10</f>
        <v>0</v>
      </c>
      <c r="J331" s="155">
        <f>G331*'Darba algas UZŅEMŠANĀ_jaunais'!$BB$10</f>
        <v>0</v>
      </c>
      <c r="K331" s="155">
        <f>H331*'Darba algas UZŅEMŠANĀ_jaunais'!$BA$10</f>
        <v>0</v>
      </c>
      <c r="M331" s="139">
        <f>F331*'Darba algas UZŅEMŠANĀ_jaunais'!$BA$48</f>
        <v>0</v>
      </c>
      <c r="N331" s="139"/>
    </row>
    <row r="332" spans="1:14" x14ac:dyDescent="0.25">
      <c r="A332" s="172"/>
      <c r="B332" s="2"/>
      <c r="C332" s="2"/>
      <c r="D332" s="2"/>
      <c r="E332" s="2" t="s">
        <v>73</v>
      </c>
      <c r="F332" s="2">
        <v>2</v>
      </c>
      <c r="G332" s="2">
        <v>0</v>
      </c>
      <c r="H332" s="2">
        <v>0</v>
      </c>
      <c r="I332" s="155">
        <f>F332*'Darba algas UZŅEMŠANĀ_jaunais'!$BD$11</f>
        <v>184513.72695499999</v>
      </c>
      <c r="J332" s="155">
        <f>ROUND(G332*'Darba algas UZŅEMŠANĀ_jaunais'!$BA$11,0)</f>
        <v>0</v>
      </c>
      <c r="K332" s="155">
        <f>ROUND(H332*'Darba algas UZŅEMŠANĀ_jaunais'!$BB$11,0)</f>
        <v>0</v>
      </c>
      <c r="M332" s="139">
        <f>F332*'Darba algas UZŅEMŠANĀ_jaunais'!$BA$55</f>
        <v>117233.45</v>
      </c>
      <c r="N332" s="139"/>
    </row>
    <row r="333" spans="1:14" ht="12" thickBot="1" x14ac:dyDescent="0.3">
      <c r="A333" s="172"/>
      <c r="B333" s="2"/>
      <c r="C333" s="2"/>
      <c r="D333" s="2"/>
      <c r="E333" s="176" t="s">
        <v>77</v>
      </c>
      <c r="F333" s="176">
        <v>0</v>
      </c>
      <c r="G333" s="176">
        <v>0</v>
      </c>
      <c r="H333" s="176">
        <v>0</v>
      </c>
      <c r="I333" s="155">
        <f>ROUND(F333*'Darba algas UZŅEMŠANĀ_jaunais'!$BE$10,0)</f>
        <v>0</v>
      </c>
      <c r="J333" s="155">
        <f>G333*'Darba algas UZŅEMŠANĀ_jaunais'!$BB$10</f>
        <v>0</v>
      </c>
      <c r="K333" s="155">
        <f>H333*'Darba algas UZŅEMŠANĀ_jaunais'!$BA$10</f>
        <v>0</v>
      </c>
      <c r="M333" s="139">
        <f>F333*'Darba algas UZŅEMŠANĀ_jaunais'!$BA$48</f>
        <v>0</v>
      </c>
      <c r="N333" s="139"/>
    </row>
    <row r="334" spans="1:14" ht="12" thickBot="1" x14ac:dyDescent="0.3">
      <c r="A334" s="2"/>
      <c r="B334" s="2"/>
      <c r="D334" s="173" t="s">
        <v>179</v>
      </c>
      <c r="E334" s="174">
        <f>SUM(F334:H334)</f>
        <v>893963.43565124995</v>
      </c>
      <c r="F334" s="175">
        <f>I317</f>
        <v>837449.36528699996</v>
      </c>
      <c r="G334" s="175">
        <f>J317</f>
        <v>56514.070364250001</v>
      </c>
      <c r="H334" s="175">
        <f>K317</f>
        <v>0</v>
      </c>
      <c r="M334" s="139"/>
      <c r="N334" s="139"/>
    </row>
    <row r="335" spans="1:14" x14ac:dyDescent="0.25">
      <c r="A335" s="184" t="s">
        <v>91</v>
      </c>
      <c r="B335" s="5" t="s">
        <v>46</v>
      </c>
      <c r="C335" s="5" t="s">
        <v>7</v>
      </c>
      <c r="D335" s="187" t="s">
        <v>18</v>
      </c>
      <c r="E335" s="169" t="s">
        <v>80</v>
      </c>
      <c r="F335" s="5">
        <f>SUM(F336:F345,F347)</f>
        <v>5</v>
      </c>
      <c r="G335" s="5">
        <f>SUM(G336:G345,G347)</f>
        <v>1</v>
      </c>
      <c r="H335" s="5">
        <f>SUM(H336:H345,H347)</f>
        <v>1</v>
      </c>
      <c r="I335" s="170">
        <f>SUM(I336:I351)</f>
        <v>2182994.462161094</v>
      </c>
      <c r="J335" s="170">
        <f t="shared" ref="J335:K335" si="18">SUM(J336:J351)</f>
        <v>133389.14212500001</v>
      </c>
      <c r="K335" s="170">
        <f t="shared" si="18"/>
        <v>62291.726769500005</v>
      </c>
      <c r="L335" s="153">
        <f>SUM(I335:K335)</f>
        <v>2378675.3310555941</v>
      </c>
      <c r="M335" s="139">
        <f>SUM(M336:M351)</f>
        <v>1374076.2015625001</v>
      </c>
      <c r="N335" s="139">
        <f>(F335-1)*'Darba algas UZŅEMŠANĀ_jaunais'!BE15</f>
        <v>55427.519999999997</v>
      </c>
    </row>
    <row r="336" spans="1:14" x14ac:dyDescent="0.25">
      <c r="A336" s="2"/>
      <c r="B336" s="2"/>
      <c r="C336" s="2" t="s">
        <v>9</v>
      </c>
      <c r="D336" s="2" t="s">
        <v>10</v>
      </c>
      <c r="E336" s="2" t="s">
        <v>64</v>
      </c>
      <c r="F336" s="2">
        <v>1</v>
      </c>
      <c r="G336" s="2">
        <v>0</v>
      </c>
      <c r="H336" s="2">
        <v>0</v>
      </c>
      <c r="I336" s="155">
        <f>F336*'Darba algas UZŅEMŠANĀ_jaunais'!$BD$8</f>
        <v>236019.93968050004</v>
      </c>
      <c r="J336" s="155">
        <f>G336*'Darba algas UZŅEMŠANĀ_jaunais'!$BB$8</f>
        <v>0</v>
      </c>
      <c r="K336" s="155">
        <f>H336*'Darba algas UZŅEMŠANĀ_jaunais'!$BA$8</f>
        <v>0</v>
      </c>
      <c r="M336" s="139">
        <f>F336*'Darba algas UZŅEMŠANĀ_jaunais'!$BA$41</f>
        <v>141154.49500000002</v>
      </c>
      <c r="N336" s="139"/>
    </row>
    <row r="337" spans="1:14" x14ac:dyDescent="0.25">
      <c r="A337" s="2"/>
      <c r="B337" s="2"/>
      <c r="C337" s="2" t="s">
        <v>10</v>
      </c>
      <c r="D337" s="188" t="s">
        <v>24</v>
      </c>
      <c r="E337" s="2" t="s">
        <v>82</v>
      </c>
      <c r="F337" s="2">
        <v>0</v>
      </c>
      <c r="G337" s="2">
        <v>0</v>
      </c>
      <c r="H337" s="2">
        <v>0</v>
      </c>
      <c r="I337" s="155">
        <f>F337*'Darba algas UZŅEMŠANĀ_jaunais'!$BD$8</f>
        <v>0</v>
      </c>
      <c r="J337" s="155">
        <f>G337*'Darba algas UZŅEMŠANĀ_jaunais'!$BB$8</f>
        <v>0</v>
      </c>
      <c r="K337" s="155">
        <f>H337*'Darba algas UZŅEMŠANĀ_jaunais'!$BA$8</f>
        <v>0</v>
      </c>
      <c r="M337" s="139">
        <f>F337*'Darba algas UZŅEMŠANĀ_jaunais'!$BA$41</f>
        <v>0</v>
      </c>
      <c r="N337" s="139"/>
    </row>
    <row r="338" spans="1:14" x14ac:dyDescent="0.25">
      <c r="A338" s="2"/>
      <c r="B338" s="2"/>
      <c r="C338" s="2" t="s">
        <v>11</v>
      </c>
      <c r="D338" s="2" t="s">
        <v>33</v>
      </c>
      <c r="E338" s="2" t="s">
        <v>65</v>
      </c>
      <c r="F338" s="2">
        <v>1</v>
      </c>
      <c r="G338" s="2">
        <v>0</v>
      </c>
      <c r="H338" s="2">
        <v>0</v>
      </c>
      <c r="I338" s="155">
        <f>F338*'Darba algas UZŅEMŠANĀ_jaunais'!$BD$8</f>
        <v>236019.93968050004</v>
      </c>
      <c r="J338" s="155">
        <f>G338*'Darba algas UZŅEMŠANĀ_jaunais'!$BB$8</f>
        <v>0</v>
      </c>
      <c r="K338" s="155">
        <f>H338*'Darba algas UZŅEMŠANĀ_jaunais'!$BA$8</f>
        <v>0</v>
      </c>
      <c r="M338" s="139">
        <f>F338*'Darba algas UZŅEMŠANĀ_jaunais'!$BA$41</f>
        <v>141154.49500000002</v>
      </c>
      <c r="N338" s="139"/>
    </row>
    <row r="339" spans="1:14" x14ac:dyDescent="0.25">
      <c r="A339" s="2"/>
      <c r="B339" s="2"/>
      <c r="C339" s="2" t="s">
        <v>21</v>
      </c>
      <c r="D339" s="2"/>
      <c r="E339" s="2" t="s">
        <v>83</v>
      </c>
      <c r="F339" s="2">
        <v>1</v>
      </c>
      <c r="G339" s="2">
        <v>0</v>
      </c>
      <c r="H339" s="2">
        <v>0</v>
      </c>
      <c r="I339" s="155">
        <f>F339*'Darba algas UZŅEMŠANĀ_jaunais'!$BD$8</f>
        <v>236019.93968050004</v>
      </c>
      <c r="J339" s="155">
        <f>G339*'Darba algas UZŅEMŠANĀ_jaunais'!$BB$8</f>
        <v>0</v>
      </c>
      <c r="K339" s="155">
        <f>H339*'Darba algas UZŅEMŠANĀ_jaunais'!$BA$8</f>
        <v>0</v>
      </c>
      <c r="M339" s="139">
        <f>F339*'Darba algas UZŅEMŠANĀ_jaunais'!$BA$41</f>
        <v>141154.49500000002</v>
      </c>
      <c r="N339" s="139"/>
    </row>
    <row r="340" spans="1:14" x14ac:dyDescent="0.25">
      <c r="A340" s="2"/>
      <c r="B340" s="2"/>
      <c r="C340" s="2" t="s">
        <v>12</v>
      </c>
      <c r="D340" s="2"/>
      <c r="E340" s="2" t="s">
        <v>66</v>
      </c>
      <c r="F340" s="2">
        <v>0</v>
      </c>
      <c r="G340" s="2">
        <v>0</v>
      </c>
      <c r="H340" s="2">
        <v>0</v>
      </c>
      <c r="I340" s="155">
        <f>F340*'Darba algas UZŅEMŠANĀ_jaunais'!$BD$8</f>
        <v>0</v>
      </c>
      <c r="J340" s="155">
        <f>G340*'Darba algas UZŅEMŠANĀ_jaunais'!$BB$8</f>
        <v>0</v>
      </c>
      <c r="K340" s="155">
        <f>H340*'Darba algas UZŅEMŠANĀ_jaunais'!$BA$8</f>
        <v>0</v>
      </c>
      <c r="M340" s="139">
        <f>F340*'Darba algas UZŅEMŠANĀ_jaunais'!$BA$41</f>
        <v>0</v>
      </c>
      <c r="N340" s="139"/>
    </row>
    <row r="341" spans="1:14" x14ac:dyDescent="0.25">
      <c r="A341" s="2"/>
      <c r="B341" s="2"/>
      <c r="C341" s="3" t="s">
        <v>26</v>
      </c>
      <c r="D341" s="2"/>
      <c r="E341" s="2" t="s">
        <v>67</v>
      </c>
      <c r="F341" s="2">
        <v>0</v>
      </c>
      <c r="G341" s="2">
        <v>0</v>
      </c>
      <c r="H341" s="2">
        <v>0</v>
      </c>
      <c r="I341" s="155">
        <f>F341*'Darba algas UZŅEMŠANĀ_jaunais'!$BD$8</f>
        <v>0</v>
      </c>
      <c r="J341" s="155">
        <f>G341*'Darba algas UZŅEMŠANĀ_jaunais'!$BB$8</f>
        <v>0</v>
      </c>
      <c r="K341" s="155">
        <f>H341*'Darba algas UZŅEMŠANĀ_jaunais'!$BA$8</f>
        <v>0</v>
      </c>
      <c r="M341" s="139">
        <f>F341*'Darba algas UZŅEMŠANĀ_jaunais'!$BA$41</f>
        <v>0</v>
      </c>
      <c r="N341" s="139"/>
    </row>
    <row r="342" spans="1:14" x14ac:dyDescent="0.25">
      <c r="A342" s="2"/>
      <c r="B342" s="2"/>
      <c r="C342" s="2" t="s">
        <v>47</v>
      </c>
      <c r="D342" s="2"/>
      <c r="E342" s="2" t="s">
        <v>74</v>
      </c>
      <c r="F342" s="2">
        <v>1</v>
      </c>
      <c r="G342" s="2">
        <v>0</v>
      </c>
      <c r="H342" s="2">
        <v>0</v>
      </c>
      <c r="I342" s="155">
        <f>F342*'Darba algas UZŅEMŠANĀ_jaunais'!$BD$8</f>
        <v>236019.93968050004</v>
      </c>
      <c r="J342" s="155">
        <f>G342*'Darba algas UZŅEMŠANĀ_jaunais'!$BB$8</f>
        <v>0</v>
      </c>
      <c r="K342" s="155">
        <f>H342*'Darba algas UZŅEMŠANĀ_jaunais'!$BA$8</f>
        <v>0</v>
      </c>
      <c r="M342" s="139">
        <f>F342*'Darba algas UZŅEMŠANĀ_jaunais'!$BA$41</f>
        <v>141154.49500000002</v>
      </c>
      <c r="N342" s="139"/>
    </row>
    <row r="343" spans="1:14" x14ac:dyDescent="0.25">
      <c r="A343" s="2"/>
      <c r="B343" s="2"/>
      <c r="C343" s="2" t="s">
        <v>27</v>
      </c>
      <c r="D343" s="2"/>
      <c r="E343" s="2" t="s">
        <v>75</v>
      </c>
      <c r="F343" s="2">
        <v>0</v>
      </c>
      <c r="G343" s="2">
        <v>0</v>
      </c>
      <c r="H343" s="2">
        <v>0</v>
      </c>
      <c r="I343" s="155">
        <f>F343*'Darba algas UZŅEMŠANĀ_jaunais'!$BD$8</f>
        <v>0</v>
      </c>
      <c r="J343" s="155">
        <f>G343*'Darba algas UZŅEMŠANĀ_jaunais'!$BB$8</f>
        <v>0</v>
      </c>
      <c r="K343" s="155">
        <f>H343*'Darba algas UZŅEMŠANĀ_jaunais'!$BA$8</f>
        <v>0</v>
      </c>
      <c r="M343" s="139">
        <f>F343*'Darba algas UZŅEMŠANĀ_jaunais'!$BA$41</f>
        <v>0</v>
      </c>
      <c r="N343" s="139"/>
    </row>
    <row r="344" spans="1:14" x14ac:dyDescent="0.25">
      <c r="A344" s="2"/>
      <c r="B344" s="2"/>
      <c r="C344" s="2"/>
      <c r="D344" s="2"/>
      <c r="E344" s="2" t="s">
        <v>69</v>
      </c>
      <c r="F344" s="2">
        <v>0</v>
      </c>
      <c r="G344" s="2">
        <v>1</v>
      </c>
      <c r="H344" s="2">
        <v>1</v>
      </c>
      <c r="I344" s="155">
        <f>F344*'Darba algas UZŅEMŠANĀ_jaunais'!$BD$8</f>
        <v>0</v>
      </c>
      <c r="J344" s="155">
        <f>G344*'Darba algas UZŅEMŠANĀ_jaunais'!$BB$8</f>
        <v>82058.352937500007</v>
      </c>
      <c r="K344" s="155">
        <f>H344*'Darba algas UZŅEMŠANĀ_jaunais'!$BA$8</f>
        <v>17357.755127250002</v>
      </c>
      <c r="M344" s="139">
        <f>F344*'Darba algas UZŅEMŠANĀ_jaunais'!$BA$41</f>
        <v>0</v>
      </c>
      <c r="N344" s="139"/>
    </row>
    <row r="345" spans="1:14" x14ac:dyDescent="0.25">
      <c r="A345" s="2"/>
      <c r="B345" s="2"/>
      <c r="C345" s="2"/>
      <c r="D345" s="2"/>
      <c r="E345" s="2" t="s">
        <v>184</v>
      </c>
      <c r="F345" s="197">
        <v>1</v>
      </c>
      <c r="G345" s="2">
        <v>0</v>
      </c>
      <c r="H345" s="2">
        <v>0</v>
      </c>
      <c r="I345" s="155">
        <f>F345*'Darba algas UZŅEMŠANĀ_jaunais'!$BD$9</f>
        <v>128312.71570359374</v>
      </c>
      <c r="J345" s="155">
        <f>G345*'Darba algas UZŅEMŠANĀ_jaunais'!$BB$8</f>
        <v>0</v>
      </c>
      <c r="K345" s="155">
        <f>H345*'Darba algas UZŅEMŠANĀ_jaunais'!$BA$8</f>
        <v>0</v>
      </c>
      <c r="M345" s="139">
        <f>F345*'Darba algas UZŅEMŠANĀ_jaunais'!$BA$42</f>
        <v>103821.27656249999</v>
      </c>
      <c r="N345" s="139"/>
    </row>
    <row r="346" spans="1:14" x14ac:dyDescent="0.25">
      <c r="A346" s="2"/>
      <c r="B346" s="2"/>
      <c r="C346" s="2"/>
      <c r="D346" s="2"/>
      <c r="E346" s="2" t="s">
        <v>70</v>
      </c>
      <c r="F346" s="2">
        <v>1</v>
      </c>
      <c r="G346" s="2">
        <v>0</v>
      </c>
      <c r="H346" s="2">
        <v>0</v>
      </c>
      <c r="I346" s="155">
        <f>F346*'Darba algas UZŅEMŠANĀ_jaunais'!$BD$10</f>
        <v>138971.89955050001</v>
      </c>
      <c r="J346" s="155">
        <f>G346*'Darba algas UZŅEMŠANĀ_jaunais'!$BB$10</f>
        <v>0</v>
      </c>
      <c r="K346" s="155">
        <f>H346*'Darba algas UZŅEMŠANĀ_jaunais'!$BA$10</f>
        <v>0</v>
      </c>
      <c r="M346" s="139">
        <f>F346*'Darba algas UZŅEMŠANĀ_jaunais'!$BA$48</f>
        <v>88297.795000000013</v>
      </c>
      <c r="N346" s="139"/>
    </row>
    <row r="347" spans="1:14" x14ac:dyDescent="0.25">
      <c r="A347" s="2"/>
      <c r="B347" s="2"/>
      <c r="C347" s="2"/>
      <c r="D347" s="2"/>
      <c r="E347" s="2" t="s">
        <v>87</v>
      </c>
      <c r="F347" s="2">
        <v>0</v>
      </c>
      <c r="G347" s="2">
        <v>0</v>
      </c>
      <c r="H347" s="2">
        <v>0</v>
      </c>
      <c r="I347" s="155">
        <f>F347*'Darba algas UZŅEMŠANĀ_jaunais'!$BD$8</f>
        <v>0</v>
      </c>
      <c r="J347" s="155">
        <f>G347*'Darba algas UZŅEMŠANĀ_jaunais'!$BB$8</f>
        <v>0</v>
      </c>
      <c r="K347" s="155">
        <f>H347*'Darba algas UZŅEMŠANĀ_jaunais'!$BA$8</f>
        <v>0</v>
      </c>
      <c r="M347" s="139">
        <f>F347*'Darba algas UZŅEMŠANĀ_jaunais'!$BA$41</f>
        <v>0</v>
      </c>
      <c r="N347" s="139"/>
    </row>
    <row r="348" spans="1:14" x14ac:dyDescent="0.25">
      <c r="A348" s="2"/>
      <c r="B348" s="2"/>
      <c r="C348" s="2"/>
      <c r="D348" s="2"/>
      <c r="E348" s="2" t="s">
        <v>72</v>
      </c>
      <c r="F348" s="2">
        <v>3</v>
      </c>
      <c r="G348" s="2">
        <v>1</v>
      </c>
      <c r="H348" s="2">
        <v>1</v>
      </c>
      <c r="I348" s="155">
        <f>F348*'Darba algas UZŅEMŠANĀ_jaunais'!$BD$10</f>
        <v>416915.69865150005</v>
      </c>
      <c r="J348" s="155">
        <f>G348*'Darba algas UZŅEMŠANĀ_jaunais'!$BB$10</f>
        <v>51330.789187500006</v>
      </c>
      <c r="K348" s="155">
        <f>H348*'Darba algas UZŅEMŠANĀ_jaunais'!$BA$10</f>
        <v>10857.971642250001</v>
      </c>
      <c r="M348" s="139">
        <f>F348*'Darba algas UZŅEMŠANĀ_jaunais'!$BA$48</f>
        <v>264893.38500000001</v>
      </c>
      <c r="N348" s="139"/>
    </row>
    <row r="349" spans="1:14" x14ac:dyDescent="0.25">
      <c r="A349" s="2"/>
      <c r="B349" s="2"/>
      <c r="C349" s="2"/>
      <c r="D349" s="2"/>
      <c r="E349" s="2" t="s">
        <v>76</v>
      </c>
      <c r="F349" s="2">
        <v>2</v>
      </c>
      <c r="G349" s="2">
        <v>0</v>
      </c>
      <c r="H349" s="2">
        <v>0</v>
      </c>
      <c r="I349" s="155">
        <f>F349*'Darba algas UZŅEMŠANĀ_jaunais'!$BD$10</f>
        <v>277943.79910100001</v>
      </c>
      <c r="J349" s="155">
        <f>G349*'Darba algas UZŅEMŠANĀ_jaunais'!$BB$10</f>
        <v>0</v>
      </c>
      <c r="K349" s="155">
        <f>H349*'Darba algas UZŅEMŠANĀ_jaunais'!$BA$10</f>
        <v>0</v>
      </c>
      <c r="M349" s="139">
        <f>F349*'Darba algas UZŅEMŠANĀ_jaunais'!$BA$48</f>
        <v>176595.59000000003</v>
      </c>
      <c r="N349" s="139"/>
    </row>
    <row r="350" spans="1:14" x14ac:dyDescent="0.25">
      <c r="A350" s="2"/>
      <c r="B350" s="2"/>
      <c r="C350" s="2"/>
      <c r="D350" s="2"/>
      <c r="E350" s="2" t="s">
        <v>73</v>
      </c>
      <c r="F350" s="2">
        <v>3</v>
      </c>
      <c r="G350" s="2">
        <v>0</v>
      </c>
      <c r="H350" s="2">
        <v>1</v>
      </c>
      <c r="I350" s="155">
        <f>F350*'Darba algas UZŅEMŠANĀ_jaunais'!$BD$11</f>
        <v>276770.5904325</v>
      </c>
      <c r="J350" s="155">
        <f>ROUND(G350*'Darba algas UZŅEMŠANĀ_jaunais'!$BA$11,0)</f>
        <v>0</v>
      </c>
      <c r="K350" s="155">
        <f>ROUND(H350*'Darba algas UZŅEMŠANĀ_jaunais'!$BB$11,0)</f>
        <v>34076</v>
      </c>
      <c r="M350" s="139">
        <f>F350*'Darba algas UZŅEMŠANĀ_jaunais'!$BA$55</f>
        <v>175850.17499999999</v>
      </c>
      <c r="N350" s="139"/>
    </row>
    <row r="351" spans="1:14" ht="12" thickBot="1" x14ac:dyDescent="0.3">
      <c r="A351" s="176"/>
      <c r="B351" s="176"/>
      <c r="C351" s="176"/>
      <c r="D351" s="176"/>
      <c r="E351" s="176" t="s">
        <v>77</v>
      </c>
      <c r="F351" s="176">
        <v>0</v>
      </c>
      <c r="G351" s="176">
        <v>0</v>
      </c>
      <c r="H351" s="176">
        <v>0</v>
      </c>
      <c r="I351" s="155">
        <f>ROUND(F351*'Darba algas UZŅEMŠANĀ_jaunais'!$BE$10,0)</f>
        <v>0</v>
      </c>
      <c r="J351" s="155">
        <f>G351*'Darba algas UZŅEMŠANĀ_jaunais'!$BB$10</f>
        <v>0</v>
      </c>
      <c r="K351" s="155">
        <f>H351*'Darba algas UZŅEMŠANĀ_jaunais'!$BA$10</f>
        <v>0</v>
      </c>
      <c r="M351" s="139">
        <f>F351*'Darba algas UZŅEMŠANĀ_jaunais'!$BA$48</f>
        <v>0</v>
      </c>
      <c r="N351" s="139"/>
    </row>
    <row r="352" spans="1:14" ht="12" thickBot="1" x14ac:dyDescent="0.3">
      <c r="A352" s="2"/>
      <c r="B352" s="2"/>
      <c r="D352" s="173" t="s">
        <v>179</v>
      </c>
      <c r="E352" s="174">
        <f>SUM(F352:H352)</f>
        <v>2378675.3310555941</v>
      </c>
      <c r="F352" s="175">
        <f>I335</f>
        <v>2182994.462161094</v>
      </c>
      <c r="G352" s="175">
        <f>J335</f>
        <v>133389.14212500001</v>
      </c>
      <c r="H352" s="175">
        <f>K335</f>
        <v>62291.726769500005</v>
      </c>
      <c r="M352" s="139"/>
      <c r="N352" s="139"/>
    </row>
    <row r="353" spans="1:14" ht="12" thickBot="1" x14ac:dyDescent="0.3">
      <c r="A353" s="385" t="s">
        <v>48</v>
      </c>
      <c r="B353" s="385"/>
      <c r="C353" s="385"/>
      <c r="D353" s="385"/>
      <c r="E353" s="198"/>
      <c r="F353" s="198">
        <v>0</v>
      </c>
      <c r="G353" s="198">
        <v>0</v>
      </c>
      <c r="H353" s="198">
        <v>0</v>
      </c>
      <c r="M353" s="139"/>
      <c r="N353" s="139"/>
    </row>
    <row r="354" spans="1:14" x14ac:dyDescent="0.25">
      <c r="A354" s="184" t="s">
        <v>92</v>
      </c>
      <c r="B354" s="5" t="s">
        <v>49</v>
      </c>
      <c r="C354" s="5" t="s">
        <v>7</v>
      </c>
      <c r="D354" s="187" t="s">
        <v>8</v>
      </c>
      <c r="E354" s="169" t="s">
        <v>80</v>
      </c>
      <c r="F354" s="5">
        <f>SUM(F355:F364,F366)</f>
        <v>8</v>
      </c>
      <c r="G354" s="5">
        <f>SUM(G355:G364,G366)</f>
        <v>8</v>
      </c>
      <c r="H354" s="5">
        <f>SUM(H355:H364,H366)</f>
        <v>8</v>
      </c>
      <c r="I354" s="170">
        <f>SUM(I355:I370)</f>
        <v>3692447.7942635003</v>
      </c>
      <c r="J354" s="170">
        <f t="shared" ref="J354:K354" si="19">SUM(J355:J370)</f>
        <v>707797.61268750008</v>
      </c>
      <c r="K354" s="170">
        <f t="shared" si="19"/>
        <v>149720.01266025001</v>
      </c>
      <c r="L354" s="153">
        <f>SUM(I354:K354)</f>
        <v>4549965.4196112501</v>
      </c>
      <c r="M354" s="139">
        <f>SUM(M355:M370)</f>
        <v>2275616.4650000003</v>
      </c>
      <c r="N354" s="139">
        <f>F354*'Darba algas UZŅEMŠANĀ_jaunais'!BE15</f>
        <v>110855.03999999999</v>
      </c>
    </row>
    <row r="355" spans="1:14" x14ac:dyDescent="0.25">
      <c r="A355" s="2"/>
      <c r="B355" s="2"/>
      <c r="C355" s="2" t="s">
        <v>9</v>
      </c>
      <c r="D355" s="2" t="s">
        <v>10</v>
      </c>
      <c r="E355" s="2" t="s">
        <v>64</v>
      </c>
      <c r="F355" s="2">
        <v>1</v>
      </c>
      <c r="G355" s="2">
        <v>3</v>
      </c>
      <c r="H355" s="2">
        <v>3</v>
      </c>
      <c r="I355" s="155">
        <f>F355*'Darba algas UZŅEMŠANĀ_jaunais'!$BD$8</f>
        <v>236019.93968050004</v>
      </c>
      <c r="J355" s="155">
        <f>G355*'Darba algas UZŅEMŠANĀ_jaunais'!$BB$8</f>
        <v>246175.05881250004</v>
      </c>
      <c r="K355" s="155">
        <f>H355*'Darba algas UZŅEMŠANĀ_jaunais'!$BA$8</f>
        <v>52073.26538175001</v>
      </c>
      <c r="M355" s="139">
        <f>F355*'Darba algas UZŅEMŠANĀ_jaunais'!$BA$41</f>
        <v>141154.49500000002</v>
      </c>
      <c r="N355" s="139"/>
    </row>
    <row r="356" spans="1:14" x14ac:dyDescent="0.25">
      <c r="A356" s="2"/>
      <c r="B356" s="2"/>
      <c r="C356" s="2" t="s">
        <v>11</v>
      </c>
      <c r="D356" s="188" t="s">
        <v>24</v>
      </c>
      <c r="E356" s="2" t="s">
        <v>82</v>
      </c>
      <c r="F356" s="2">
        <v>0</v>
      </c>
      <c r="G356" s="2">
        <v>0</v>
      </c>
      <c r="H356" s="2">
        <v>0</v>
      </c>
      <c r="I356" s="155">
        <f>F356*'Darba algas UZŅEMŠANĀ_jaunais'!$BD$8</f>
        <v>0</v>
      </c>
      <c r="J356" s="155">
        <f>G356*'Darba algas UZŅEMŠANĀ_jaunais'!$BB$8</f>
        <v>0</v>
      </c>
      <c r="K356" s="155">
        <f>H356*'Darba algas UZŅEMŠANĀ_jaunais'!$BA$8</f>
        <v>0</v>
      </c>
      <c r="M356" s="139">
        <f>F356*'Darba algas UZŅEMŠANĀ_jaunais'!$BA$41</f>
        <v>0</v>
      </c>
      <c r="N356" s="139"/>
    </row>
    <row r="357" spans="1:14" x14ac:dyDescent="0.25">
      <c r="A357" s="2"/>
      <c r="B357" s="2"/>
      <c r="C357" s="2" t="s">
        <v>37</v>
      </c>
      <c r="D357" s="188" t="s">
        <v>21</v>
      </c>
      <c r="E357" s="2" t="s">
        <v>65</v>
      </c>
      <c r="F357" s="2">
        <v>1</v>
      </c>
      <c r="G357" s="2">
        <v>1</v>
      </c>
      <c r="H357" s="2">
        <v>1</v>
      </c>
      <c r="I357" s="155">
        <f>F357*'Darba algas UZŅEMŠANĀ_jaunais'!$BD$8</f>
        <v>236019.93968050004</v>
      </c>
      <c r="J357" s="155">
        <f>G357*'Darba algas UZŅEMŠANĀ_jaunais'!$BB$8</f>
        <v>82058.352937500007</v>
      </c>
      <c r="K357" s="155">
        <f>H357*'Darba algas UZŅEMŠANĀ_jaunais'!$BA$8</f>
        <v>17357.755127250002</v>
      </c>
      <c r="M357" s="139">
        <f>F357*'Darba algas UZŅEMŠANĀ_jaunais'!$BA$41</f>
        <v>141154.49500000002</v>
      </c>
      <c r="N357" s="139"/>
    </row>
    <row r="358" spans="1:14" x14ac:dyDescent="0.25">
      <c r="A358" s="2"/>
      <c r="B358" s="2"/>
      <c r="C358" s="2" t="s">
        <v>12</v>
      </c>
      <c r="D358" s="188" t="s">
        <v>25</v>
      </c>
      <c r="E358" s="2" t="s">
        <v>83</v>
      </c>
      <c r="F358" s="2">
        <v>1</v>
      </c>
      <c r="G358" s="2">
        <v>1</v>
      </c>
      <c r="H358" s="2">
        <v>1</v>
      </c>
      <c r="I358" s="155">
        <f>F358*'Darba algas UZŅEMŠANĀ_jaunais'!$BD$8</f>
        <v>236019.93968050004</v>
      </c>
      <c r="J358" s="155">
        <f>G358*'Darba algas UZŅEMŠANĀ_jaunais'!$BB$8</f>
        <v>82058.352937500007</v>
      </c>
      <c r="K358" s="155">
        <f>H358*'Darba algas UZŅEMŠANĀ_jaunais'!$BA$8</f>
        <v>17357.755127250002</v>
      </c>
      <c r="M358" s="139">
        <f>F358*'Darba algas UZŅEMŠANĀ_jaunais'!$BA$41</f>
        <v>141154.49500000002</v>
      </c>
      <c r="N358" s="139"/>
    </row>
    <row r="359" spans="1:14" x14ac:dyDescent="0.25">
      <c r="A359" s="2"/>
      <c r="B359" s="2"/>
      <c r="C359" s="3" t="s">
        <v>26</v>
      </c>
      <c r="D359" s="188" t="s">
        <v>26</v>
      </c>
      <c r="E359" s="2" t="s">
        <v>66</v>
      </c>
      <c r="F359" s="2">
        <v>1</v>
      </c>
      <c r="G359" s="2">
        <v>0</v>
      </c>
      <c r="H359" s="2">
        <v>0</v>
      </c>
      <c r="I359" s="155">
        <f>F359*'Darba algas UZŅEMŠANĀ_jaunais'!$BD$8</f>
        <v>236019.93968050004</v>
      </c>
      <c r="J359" s="155">
        <f>G359*'Darba algas UZŅEMŠANĀ_jaunais'!$BB$8</f>
        <v>0</v>
      </c>
      <c r="K359" s="155">
        <f>H359*'Darba algas UZŅEMŠANĀ_jaunais'!$BA$8</f>
        <v>0</v>
      </c>
      <c r="M359" s="139">
        <f>F359*'Darba algas UZŅEMŠANĀ_jaunais'!$BA$41</f>
        <v>141154.49500000002</v>
      </c>
      <c r="N359" s="139"/>
    </row>
    <row r="360" spans="1:14" x14ac:dyDescent="0.25">
      <c r="A360" s="2"/>
      <c r="B360" s="2"/>
      <c r="C360" s="2" t="s">
        <v>14</v>
      </c>
      <c r="D360" s="188" t="s">
        <v>14</v>
      </c>
      <c r="E360" s="2" t="s">
        <v>67</v>
      </c>
      <c r="F360" s="2">
        <v>1</v>
      </c>
      <c r="G360" s="2">
        <v>0</v>
      </c>
      <c r="H360" s="2">
        <v>0</v>
      </c>
      <c r="I360" s="155">
        <f>F360*'Darba algas UZŅEMŠANĀ_jaunais'!$BD$8</f>
        <v>236019.93968050004</v>
      </c>
      <c r="J360" s="155">
        <f>G360*'Darba algas UZŅEMŠANĀ_jaunais'!$BB$8</f>
        <v>0</v>
      </c>
      <c r="K360" s="155">
        <f>H360*'Darba algas UZŅEMŠANĀ_jaunais'!$BA$8</f>
        <v>0</v>
      </c>
      <c r="M360" s="139">
        <f>F360*'Darba algas UZŅEMŠANĀ_jaunais'!$BA$41</f>
        <v>141154.49500000002</v>
      </c>
      <c r="N360" s="139"/>
    </row>
    <row r="361" spans="1:14" x14ac:dyDescent="0.25">
      <c r="A361" s="2"/>
      <c r="C361" s="2" t="s">
        <v>13</v>
      </c>
      <c r="D361" s="2" t="s">
        <v>13</v>
      </c>
      <c r="E361" s="2" t="s">
        <v>74</v>
      </c>
      <c r="F361" s="2">
        <v>1</v>
      </c>
      <c r="G361" s="2">
        <v>1</v>
      </c>
      <c r="H361" s="2">
        <v>1</v>
      </c>
      <c r="I361" s="155">
        <f>F361*'Darba algas UZŅEMŠANĀ_jaunais'!$BD$8</f>
        <v>236019.93968050004</v>
      </c>
      <c r="J361" s="155">
        <f>G361*'Darba algas UZŅEMŠANĀ_jaunais'!$BB$8</f>
        <v>82058.352937500007</v>
      </c>
      <c r="K361" s="155">
        <f>H361*'Darba algas UZŅEMŠANĀ_jaunais'!$BA$8</f>
        <v>17357.755127250002</v>
      </c>
      <c r="M361" s="139">
        <f>F361*'Darba algas UZŅEMŠANĀ_jaunais'!$BA$41</f>
        <v>141154.49500000002</v>
      </c>
      <c r="N361" s="139"/>
    </row>
    <row r="362" spans="1:14" x14ac:dyDescent="0.25">
      <c r="A362" s="2"/>
      <c r="B362" s="2"/>
      <c r="C362" s="2" t="s">
        <v>15</v>
      </c>
      <c r="D362" s="2" t="s">
        <v>15</v>
      </c>
      <c r="E362" s="2" t="s">
        <v>75</v>
      </c>
      <c r="F362" s="2">
        <v>0</v>
      </c>
      <c r="G362" s="2">
        <v>1</v>
      </c>
      <c r="H362" s="2">
        <v>1</v>
      </c>
      <c r="I362" s="155">
        <f>F362*'Darba algas UZŅEMŠANĀ_jaunais'!$BD$8</f>
        <v>0</v>
      </c>
      <c r="J362" s="155">
        <f>G362*'Darba algas UZŅEMŠANĀ_jaunais'!$BB$8</f>
        <v>82058.352937500007</v>
      </c>
      <c r="K362" s="155">
        <f>H362*'Darba algas UZŅEMŠANĀ_jaunais'!$BA$8</f>
        <v>17357.755127250002</v>
      </c>
      <c r="M362" s="139">
        <f>F362*'Darba algas UZŅEMŠANĀ_jaunais'!$BA$41</f>
        <v>0</v>
      </c>
      <c r="N362" s="139"/>
    </row>
    <row r="363" spans="1:14" x14ac:dyDescent="0.25">
      <c r="A363" s="2"/>
      <c r="B363" s="2"/>
      <c r="C363" s="2" t="s">
        <v>31</v>
      </c>
      <c r="D363" s="2" t="s">
        <v>31</v>
      </c>
      <c r="E363" s="2" t="s">
        <v>69</v>
      </c>
      <c r="F363" s="2">
        <v>1</v>
      </c>
      <c r="G363" s="2">
        <v>1</v>
      </c>
      <c r="H363" s="2">
        <v>1</v>
      </c>
      <c r="I363" s="155">
        <f>F363*'Darba algas UZŅEMŠANĀ_jaunais'!$BD$8</f>
        <v>236019.93968050004</v>
      </c>
      <c r="J363" s="155">
        <f>G363*'Darba algas UZŅEMŠANĀ_jaunais'!$BB$8</f>
        <v>82058.352937500007</v>
      </c>
      <c r="K363" s="155">
        <f>H363*'Darba algas UZŅEMŠANĀ_jaunais'!$BA$8</f>
        <v>17357.755127250002</v>
      </c>
      <c r="M363" s="139">
        <f>F363*'Darba algas UZŅEMŠANĀ_jaunais'!$BA$41</f>
        <v>141154.49500000002</v>
      </c>
      <c r="N363" s="139"/>
    </row>
    <row r="364" spans="1:14" x14ac:dyDescent="0.25">
      <c r="A364" s="2"/>
      <c r="B364" s="2"/>
      <c r="C364" s="2"/>
      <c r="D364" s="2"/>
      <c r="E364" s="2" t="s">
        <v>68</v>
      </c>
      <c r="F364" s="2">
        <v>1</v>
      </c>
      <c r="G364" s="2">
        <v>0</v>
      </c>
      <c r="H364" s="2">
        <v>0</v>
      </c>
      <c r="I364" s="155">
        <f>F364*'Darba algas UZŅEMŠANĀ_jaunais'!$BD$8</f>
        <v>236019.93968050004</v>
      </c>
      <c r="J364" s="155">
        <f>G364*'Darba algas UZŅEMŠANĀ_jaunais'!$BB$8</f>
        <v>0</v>
      </c>
      <c r="K364" s="155">
        <f>H364*'Darba algas UZŅEMŠANĀ_jaunais'!$BA$8</f>
        <v>0</v>
      </c>
      <c r="M364" s="139">
        <f>F364*'Darba algas UZŅEMŠANĀ_jaunais'!$BA$41</f>
        <v>141154.49500000002</v>
      </c>
      <c r="N364" s="139"/>
    </row>
    <row r="365" spans="1:14" x14ac:dyDescent="0.25">
      <c r="A365" s="2"/>
      <c r="B365" s="2"/>
      <c r="C365" s="2"/>
      <c r="D365" s="2"/>
      <c r="E365" s="2" t="s">
        <v>70</v>
      </c>
      <c r="F365" s="2">
        <v>1</v>
      </c>
      <c r="G365" s="2">
        <v>0</v>
      </c>
      <c r="H365" s="2">
        <v>0</v>
      </c>
      <c r="I365" s="155">
        <f>F365*'Darba algas UZŅEMŠANĀ_jaunais'!$BD$10</f>
        <v>138971.89955050001</v>
      </c>
      <c r="J365" s="155">
        <f>G365*'Darba algas UZŅEMŠANĀ_jaunais'!$BB$10</f>
        <v>0</v>
      </c>
      <c r="K365" s="155">
        <f>H365*'Darba algas UZŅEMŠANĀ_jaunais'!$BA$10</f>
        <v>0</v>
      </c>
      <c r="M365" s="139">
        <f>F365*'Darba algas UZŅEMŠANĀ_jaunais'!$BA$48</f>
        <v>88297.795000000013</v>
      </c>
      <c r="N365" s="139"/>
    </row>
    <row r="366" spans="1:14" x14ac:dyDescent="0.25">
      <c r="A366" s="2"/>
      <c r="B366" s="2"/>
      <c r="C366" s="2"/>
      <c r="D366" s="2"/>
      <c r="E366" s="2" t="s">
        <v>87</v>
      </c>
      <c r="F366" s="2">
        <v>0</v>
      </c>
      <c r="G366" s="2">
        <v>0</v>
      </c>
      <c r="H366" s="2">
        <v>0</v>
      </c>
      <c r="I366" s="155">
        <f>F366*'Darba algas UZŅEMŠANĀ_jaunais'!$BD$8</f>
        <v>0</v>
      </c>
      <c r="J366" s="155">
        <f>G366*'Darba algas UZŅEMŠANĀ_jaunais'!$BB$8</f>
        <v>0</v>
      </c>
      <c r="K366" s="155">
        <f>H366*'Darba algas UZŅEMŠANĀ_jaunais'!$BA$8</f>
        <v>0</v>
      </c>
      <c r="M366" s="139">
        <f>F366*'Darba algas UZŅEMŠANĀ_jaunais'!$BA$41</f>
        <v>0</v>
      </c>
      <c r="N366" s="139"/>
    </row>
    <row r="367" spans="1:14" x14ac:dyDescent="0.25">
      <c r="A367" s="2"/>
      <c r="B367" s="2"/>
      <c r="C367" s="2"/>
      <c r="D367" s="2"/>
      <c r="E367" s="2" t="s">
        <v>72</v>
      </c>
      <c r="F367" s="2">
        <v>6</v>
      </c>
      <c r="G367" s="2">
        <v>1</v>
      </c>
      <c r="H367" s="2">
        <v>1</v>
      </c>
      <c r="I367" s="155">
        <f>F367*'Darba algas UZŅEMŠANĀ_jaunais'!$BD$10</f>
        <v>833831.39730300009</v>
      </c>
      <c r="J367" s="155">
        <f>G367*'Darba algas UZŅEMŠANĀ_jaunais'!$BB$10</f>
        <v>51330.789187500006</v>
      </c>
      <c r="K367" s="155">
        <f>H367*'Darba algas UZŅEMŠANĀ_jaunais'!$BA$10</f>
        <v>10857.971642250001</v>
      </c>
      <c r="M367" s="139">
        <f>F367*'Darba algas UZŅEMŠANĀ_jaunais'!$BA$48</f>
        <v>529786.77</v>
      </c>
      <c r="N367" s="139"/>
    </row>
    <row r="368" spans="1:14" x14ac:dyDescent="0.25">
      <c r="A368" s="2"/>
      <c r="B368" s="2"/>
      <c r="C368" s="2"/>
      <c r="D368" s="2"/>
      <c r="E368" s="2" t="s">
        <v>76</v>
      </c>
      <c r="F368" s="2">
        <v>2</v>
      </c>
      <c r="G368" s="2">
        <v>0</v>
      </c>
      <c r="H368" s="2">
        <v>0</v>
      </c>
      <c r="I368" s="155">
        <f>F368*'Darba algas UZŅEMŠANĀ_jaunais'!$BD$10</f>
        <v>277943.79910100001</v>
      </c>
      <c r="J368" s="155">
        <f>G368*'Darba algas UZŅEMŠANĀ_jaunais'!$BB$10</f>
        <v>0</v>
      </c>
      <c r="K368" s="155">
        <f>H368*'Darba algas UZŅEMŠANĀ_jaunais'!$BA$10</f>
        <v>0</v>
      </c>
      <c r="M368" s="139">
        <f>F368*'Darba algas UZŅEMŠANĀ_jaunais'!$BA$48</f>
        <v>176595.59000000003</v>
      </c>
      <c r="N368" s="139"/>
    </row>
    <row r="369" spans="1:14" x14ac:dyDescent="0.25">
      <c r="A369" s="2"/>
      <c r="B369" s="2"/>
      <c r="C369" s="2"/>
      <c r="D369" s="2"/>
      <c r="E369" s="2" t="s">
        <v>73</v>
      </c>
      <c r="F369" s="2">
        <v>6</v>
      </c>
      <c r="G369" s="2">
        <v>0</v>
      </c>
      <c r="H369" s="2">
        <v>0</v>
      </c>
      <c r="I369" s="155">
        <f>F369*'Darba algas UZŅEMŠANĀ_jaunais'!$BD$11</f>
        <v>553541.180865</v>
      </c>
      <c r="J369" s="155">
        <f>ROUND(G369*'Darba algas UZŅEMŠANĀ_jaunais'!$BA$11,0)</f>
        <v>0</v>
      </c>
      <c r="K369" s="155">
        <f>ROUND(H369*'Darba algas UZŅEMŠANĀ_jaunais'!$BB$11,0)</f>
        <v>0</v>
      </c>
      <c r="M369" s="139">
        <f>F369*'Darba algas UZŅEMŠANĀ_jaunais'!$BA$55</f>
        <v>351700.35</v>
      </c>
      <c r="N369" s="139"/>
    </row>
    <row r="370" spans="1:14" ht="12" thickBot="1" x14ac:dyDescent="0.3">
      <c r="A370" s="2"/>
      <c r="B370" s="2"/>
      <c r="C370" s="2"/>
      <c r="D370" s="2"/>
      <c r="E370" s="176" t="s">
        <v>77</v>
      </c>
      <c r="F370" s="176">
        <v>0</v>
      </c>
      <c r="G370" s="176">
        <v>0</v>
      </c>
      <c r="H370" s="176">
        <v>0</v>
      </c>
      <c r="I370" s="155">
        <f>ROUND(F370*'Darba algas UZŅEMŠANĀ_jaunais'!$BE$10,0)</f>
        <v>0</v>
      </c>
      <c r="J370" s="155">
        <f>G370*'Darba algas UZŅEMŠANĀ_jaunais'!$BB$10</f>
        <v>0</v>
      </c>
      <c r="K370" s="155">
        <f>H370*'Darba algas UZŅEMŠANĀ_jaunais'!$BA$10</f>
        <v>0</v>
      </c>
      <c r="M370" s="139">
        <f>F370*'Darba algas UZŅEMŠANĀ_jaunais'!$BA$48</f>
        <v>0</v>
      </c>
      <c r="N370" s="139"/>
    </row>
    <row r="371" spans="1:14" ht="12" thickBot="1" x14ac:dyDescent="0.3">
      <c r="A371" s="2"/>
      <c r="B371" s="2"/>
      <c r="D371" s="173" t="s">
        <v>179</v>
      </c>
      <c r="E371" s="174">
        <f>SUM(F371:H371)</f>
        <v>4549965.4196112501</v>
      </c>
      <c r="F371" s="175">
        <f>I354</f>
        <v>3692447.7942635003</v>
      </c>
      <c r="G371" s="175">
        <f>J354</f>
        <v>707797.61268750008</v>
      </c>
      <c r="H371" s="175">
        <f>K354</f>
        <v>149720.01266025001</v>
      </c>
      <c r="M371" s="139"/>
      <c r="N371" s="139"/>
    </row>
    <row r="372" spans="1:14" x14ac:dyDescent="0.25">
      <c r="A372" s="184" t="s">
        <v>91</v>
      </c>
      <c r="B372" s="5" t="s">
        <v>50</v>
      </c>
      <c r="C372" s="5" t="s">
        <v>7</v>
      </c>
      <c r="D372" s="187" t="s">
        <v>18</v>
      </c>
      <c r="E372" s="169" t="s">
        <v>80</v>
      </c>
      <c r="F372" s="5">
        <f>SUM(F373:F382,F384)</f>
        <v>4</v>
      </c>
      <c r="G372" s="5">
        <f>SUM(G373:G382,G384)</f>
        <v>2</v>
      </c>
      <c r="H372" s="5">
        <f>SUM(H373:H382,H384)</f>
        <v>2</v>
      </c>
      <c r="I372" s="170">
        <f>SUM(I373:I388)</f>
        <v>1669030.7233795938</v>
      </c>
      <c r="J372" s="170">
        <f t="shared" ref="J372:K372" si="20">SUM(J373:J388)</f>
        <v>215447.49506250001</v>
      </c>
      <c r="K372" s="170">
        <f t="shared" si="20"/>
        <v>45573.481896750003</v>
      </c>
      <c r="L372" s="153">
        <f>SUM(I372:K372)</f>
        <v>1930051.7003388437</v>
      </c>
      <c r="M372" s="139">
        <f>SUM(M373:M388)</f>
        <v>1056326.1165625001</v>
      </c>
      <c r="N372" s="139">
        <f>(F372-1)*'Darba algas UZŅEMŠANĀ_jaunais'!BE15</f>
        <v>41570.639999999999</v>
      </c>
    </row>
    <row r="373" spans="1:14" x14ac:dyDescent="0.25">
      <c r="A373" s="2"/>
      <c r="B373" s="2"/>
      <c r="C373" s="2" t="s">
        <v>9</v>
      </c>
      <c r="D373" s="2" t="s">
        <v>10</v>
      </c>
      <c r="E373" s="2" t="s">
        <v>64</v>
      </c>
      <c r="F373" s="2">
        <v>1</v>
      </c>
      <c r="G373" s="2">
        <v>1</v>
      </c>
      <c r="H373" s="2">
        <v>1</v>
      </c>
      <c r="I373" s="155">
        <f>F373*'Darba algas UZŅEMŠANĀ_jaunais'!$BD$8</f>
        <v>236019.93968050004</v>
      </c>
      <c r="J373" s="155">
        <f>G373*'Darba algas UZŅEMŠANĀ_jaunais'!$BB$8</f>
        <v>82058.352937500007</v>
      </c>
      <c r="K373" s="155">
        <f>H373*'Darba algas UZŅEMŠANĀ_jaunais'!$BA$8</f>
        <v>17357.755127250002</v>
      </c>
      <c r="M373" s="139">
        <f>F373*'Darba algas UZŅEMŠANĀ_jaunais'!$BA$41</f>
        <v>141154.49500000002</v>
      </c>
      <c r="N373" s="139"/>
    </row>
    <row r="374" spans="1:14" x14ac:dyDescent="0.25">
      <c r="A374" s="2"/>
      <c r="B374" s="2"/>
      <c r="C374" s="2" t="s">
        <v>10</v>
      </c>
      <c r="D374" s="188" t="s">
        <v>24</v>
      </c>
      <c r="E374" s="2" t="s">
        <v>82</v>
      </c>
      <c r="F374" s="2">
        <v>0</v>
      </c>
      <c r="G374" s="2">
        <v>0</v>
      </c>
      <c r="H374" s="2">
        <v>0</v>
      </c>
      <c r="I374" s="155">
        <f>F374*'Darba algas UZŅEMŠANĀ_jaunais'!$BD$8</f>
        <v>0</v>
      </c>
      <c r="J374" s="155">
        <f>G374*'Darba algas UZŅEMŠANĀ_jaunais'!$BB$8</f>
        <v>0</v>
      </c>
      <c r="K374" s="155">
        <f>H374*'Darba algas UZŅEMŠANĀ_jaunais'!$BA$8</f>
        <v>0</v>
      </c>
      <c r="M374" s="139">
        <f>F374*'Darba algas UZŅEMŠANĀ_jaunais'!$BA$41</f>
        <v>0</v>
      </c>
      <c r="N374" s="139"/>
    </row>
    <row r="375" spans="1:14" x14ac:dyDescent="0.25">
      <c r="A375" s="2"/>
      <c r="B375" s="2"/>
      <c r="C375" s="2" t="s">
        <v>11</v>
      </c>
      <c r="D375" s="2" t="s">
        <v>33</v>
      </c>
      <c r="E375" s="2" t="s">
        <v>65</v>
      </c>
      <c r="F375" s="2">
        <v>1</v>
      </c>
      <c r="G375" s="2">
        <v>0</v>
      </c>
      <c r="H375" s="2">
        <v>0</v>
      </c>
      <c r="I375" s="155">
        <f>F375*'Darba algas UZŅEMŠANĀ_jaunais'!$BD$8</f>
        <v>236019.93968050004</v>
      </c>
      <c r="J375" s="155">
        <f>G375*'Darba algas UZŅEMŠANĀ_jaunais'!$BB$8</f>
        <v>0</v>
      </c>
      <c r="K375" s="155">
        <f>H375*'Darba algas UZŅEMŠANĀ_jaunais'!$BA$8</f>
        <v>0</v>
      </c>
      <c r="M375" s="139">
        <f>F375*'Darba algas UZŅEMŠANĀ_jaunais'!$BA$41</f>
        <v>141154.49500000002</v>
      </c>
      <c r="N375" s="139"/>
    </row>
    <row r="376" spans="1:14" x14ac:dyDescent="0.25">
      <c r="A376" s="2"/>
      <c r="B376" s="2"/>
      <c r="C376" s="2" t="s">
        <v>21</v>
      </c>
      <c r="D376" s="2"/>
      <c r="E376" s="2" t="s">
        <v>83</v>
      </c>
      <c r="F376" s="2">
        <v>0</v>
      </c>
      <c r="G376" s="2">
        <v>0</v>
      </c>
      <c r="H376" s="2">
        <v>0</v>
      </c>
      <c r="I376" s="155">
        <f>F376*'Darba algas UZŅEMŠANĀ_jaunais'!$BD$8</f>
        <v>0</v>
      </c>
      <c r="J376" s="155">
        <f>G376*'Darba algas UZŅEMŠANĀ_jaunais'!$BB$8</f>
        <v>0</v>
      </c>
      <c r="K376" s="155">
        <f>H376*'Darba algas UZŅEMŠANĀ_jaunais'!$BA$8</f>
        <v>0</v>
      </c>
      <c r="M376" s="139">
        <f>F376*'Darba algas UZŅEMŠANĀ_jaunais'!$BA$41</f>
        <v>0</v>
      </c>
      <c r="N376" s="139"/>
    </row>
    <row r="377" spans="1:14" x14ac:dyDescent="0.25">
      <c r="A377" s="2"/>
      <c r="B377" s="2"/>
      <c r="C377" s="2" t="s">
        <v>13</v>
      </c>
      <c r="D377" s="2"/>
      <c r="E377" s="2" t="s">
        <v>66</v>
      </c>
      <c r="F377" s="2">
        <v>0</v>
      </c>
      <c r="G377" s="2">
        <v>0</v>
      </c>
      <c r="H377" s="2">
        <v>0</v>
      </c>
      <c r="I377" s="155">
        <f>F377*'Darba algas UZŅEMŠANĀ_jaunais'!$BD$8</f>
        <v>0</v>
      </c>
      <c r="J377" s="155">
        <f>G377*'Darba algas UZŅEMŠANĀ_jaunais'!$BB$8</f>
        <v>0</v>
      </c>
      <c r="K377" s="155">
        <f>H377*'Darba algas UZŅEMŠANĀ_jaunais'!$BA$8</f>
        <v>0</v>
      </c>
      <c r="M377" s="139">
        <f>F377*'Darba algas UZŅEMŠANĀ_jaunais'!$BA$41</f>
        <v>0</v>
      </c>
      <c r="N377" s="139"/>
    </row>
    <row r="378" spans="1:14" x14ac:dyDescent="0.25">
      <c r="A378" s="2"/>
      <c r="B378" s="2"/>
      <c r="C378" s="2" t="s">
        <v>27</v>
      </c>
      <c r="D378" s="2"/>
      <c r="E378" s="2" t="s">
        <v>67</v>
      </c>
      <c r="F378" s="2">
        <v>0</v>
      </c>
      <c r="G378" s="2">
        <v>0</v>
      </c>
      <c r="H378" s="2">
        <v>0</v>
      </c>
      <c r="I378" s="155">
        <f>F378*'Darba algas UZŅEMŠANĀ_jaunais'!$BD$8</f>
        <v>0</v>
      </c>
      <c r="J378" s="155">
        <f>G378*'Darba algas UZŅEMŠANĀ_jaunais'!$BB$8</f>
        <v>0</v>
      </c>
      <c r="K378" s="155">
        <f>H378*'Darba algas UZŅEMŠANĀ_jaunais'!$BA$8</f>
        <v>0</v>
      </c>
      <c r="M378" s="139">
        <f>F378*'Darba algas UZŅEMŠANĀ_jaunais'!$BA$41</f>
        <v>0</v>
      </c>
      <c r="N378" s="139"/>
    </row>
    <row r="379" spans="1:14" x14ac:dyDescent="0.25">
      <c r="A379" s="2"/>
      <c r="B379" s="2"/>
      <c r="C379" s="2"/>
      <c r="D379" s="2"/>
      <c r="E379" s="2" t="s">
        <v>74</v>
      </c>
      <c r="F379" s="2">
        <v>1</v>
      </c>
      <c r="G379" s="2">
        <v>0</v>
      </c>
      <c r="H379" s="2">
        <v>0</v>
      </c>
      <c r="I379" s="155">
        <f>F379*'Darba algas UZŅEMŠANĀ_jaunais'!$BD$8</f>
        <v>236019.93968050004</v>
      </c>
      <c r="J379" s="155">
        <f>G379*'Darba algas UZŅEMŠANĀ_jaunais'!$BB$8</f>
        <v>0</v>
      </c>
      <c r="K379" s="155">
        <f>H379*'Darba algas UZŅEMŠANĀ_jaunais'!$BA$8</f>
        <v>0</v>
      </c>
      <c r="M379" s="139">
        <f>F379*'Darba algas UZŅEMŠANĀ_jaunais'!$BA$41</f>
        <v>141154.49500000002</v>
      </c>
      <c r="N379" s="139"/>
    </row>
    <row r="380" spans="1:14" x14ac:dyDescent="0.25">
      <c r="A380" s="2"/>
      <c r="B380" s="2"/>
      <c r="C380" s="2"/>
      <c r="D380" s="2"/>
      <c r="E380" s="2" t="s">
        <v>75</v>
      </c>
      <c r="F380" s="2">
        <v>0</v>
      </c>
      <c r="G380" s="2">
        <v>0</v>
      </c>
      <c r="H380" s="2">
        <v>0</v>
      </c>
      <c r="I380" s="155">
        <f>F380*'Darba algas UZŅEMŠANĀ_jaunais'!$BD$8</f>
        <v>0</v>
      </c>
      <c r="J380" s="155">
        <f>G380*'Darba algas UZŅEMŠANĀ_jaunais'!$BB$8</f>
        <v>0</v>
      </c>
      <c r="K380" s="155">
        <f>H380*'Darba algas UZŅEMŠANĀ_jaunais'!$BA$8</f>
        <v>0</v>
      </c>
      <c r="M380" s="139">
        <f>F380*'Darba algas UZŅEMŠANĀ_jaunais'!$BA$41</f>
        <v>0</v>
      </c>
      <c r="N380" s="139"/>
    </row>
    <row r="381" spans="1:14" x14ac:dyDescent="0.25">
      <c r="A381" s="2"/>
      <c r="B381" s="2"/>
      <c r="C381" s="2"/>
      <c r="D381" s="2"/>
      <c r="E381" s="2" t="s">
        <v>69</v>
      </c>
      <c r="F381" s="2">
        <v>0</v>
      </c>
      <c r="G381" s="2">
        <v>1</v>
      </c>
      <c r="H381" s="2">
        <v>1</v>
      </c>
      <c r="I381" s="155">
        <f>F381*'Darba algas UZŅEMŠANĀ_jaunais'!$BD$8</f>
        <v>0</v>
      </c>
      <c r="J381" s="155">
        <f>G381*'Darba algas UZŅEMŠANĀ_jaunais'!$BB$8</f>
        <v>82058.352937500007</v>
      </c>
      <c r="K381" s="155">
        <f>H381*'Darba algas UZŅEMŠANĀ_jaunais'!$BA$8</f>
        <v>17357.755127250002</v>
      </c>
      <c r="M381" s="139">
        <f>F381*'Darba algas UZŅEMŠANĀ_jaunais'!$BA$41</f>
        <v>0</v>
      </c>
      <c r="N381" s="139"/>
    </row>
    <row r="382" spans="1:14" x14ac:dyDescent="0.25">
      <c r="A382" s="2"/>
      <c r="B382" s="2"/>
      <c r="C382" s="2"/>
      <c r="D382" s="2"/>
      <c r="E382" s="2" t="s">
        <v>184</v>
      </c>
      <c r="F382" s="197">
        <v>1</v>
      </c>
      <c r="G382" s="2">
        <v>0</v>
      </c>
      <c r="H382" s="2">
        <v>0</v>
      </c>
      <c r="I382" s="155">
        <f>F382*'Darba algas UZŅEMŠANĀ_jaunais'!$BD$9</f>
        <v>128312.71570359374</v>
      </c>
      <c r="J382" s="155">
        <f>G382*'Darba algas UZŅEMŠANĀ_jaunais'!$BB$8</f>
        <v>0</v>
      </c>
      <c r="K382" s="155">
        <f>H382*'Darba algas UZŅEMŠANĀ_jaunais'!$BA$8</f>
        <v>0</v>
      </c>
      <c r="M382" s="139">
        <f>F382*'Darba algas UZŅEMŠANĀ_jaunais'!$BA$42</f>
        <v>103821.27656249999</v>
      </c>
      <c r="N382" s="139"/>
    </row>
    <row r="383" spans="1:14" x14ac:dyDescent="0.25">
      <c r="A383" s="2"/>
      <c r="B383" s="2"/>
      <c r="C383" s="2"/>
      <c r="D383" s="2"/>
      <c r="E383" s="2" t="s">
        <v>70</v>
      </c>
      <c r="F383" s="2">
        <v>1</v>
      </c>
      <c r="G383" s="2">
        <v>0</v>
      </c>
      <c r="H383" s="2">
        <v>0</v>
      </c>
      <c r="I383" s="155">
        <f>F383*'Darba algas UZŅEMŠANĀ_jaunais'!$BD$10</f>
        <v>138971.89955050001</v>
      </c>
      <c r="J383" s="155">
        <f>G383*'Darba algas UZŅEMŠANĀ_jaunais'!$BB$10</f>
        <v>0</v>
      </c>
      <c r="K383" s="155">
        <f>H383*'Darba algas UZŅEMŠANĀ_jaunais'!$BA$10</f>
        <v>0</v>
      </c>
      <c r="M383" s="139">
        <f>F383*'Darba algas UZŅEMŠANĀ_jaunais'!$BA$48</f>
        <v>88297.795000000013</v>
      </c>
      <c r="N383" s="139"/>
    </row>
    <row r="384" spans="1:14" x14ac:dyDescent="0.25">
      <c r="A384" s="2"/>
      <c r="B384" s="2"/>
      <c r="C384" s="2"/>
      <c r="D384" s="2"/>
      <c r="E384" s="2" t="s">
        <v>87</v>
      </c>
      <c r="F384" s="2">
        <v>0</v>
      </c>
      <c r="G384" s="2">
        <v>0</v>
      </c>
      <c r="H384" s="2">
        <v>0</v>
      </c>
      <c r="I384" s="155">
        <f>F384*'Darba algas UZŅEMŠANĀ_jaunais'!$BD$8</f>
        <v>0</v>
      </c>
      <c r="J384" s="155">
        <f>G384*'Darba algas UZŅEMŠANĀ_jaunais'!$BB$8</f>
        <v>0</v>
      </c>
      <c r="K384" s="155">
        <f>H384*'Darba algas UZŅEMŠANĀ_jaunais'!$BA$8</f>
        <v>0</v>
      </c>
      <c r="M384" s="139">
        <f>F384*'Darba algas UZŅEMŠANĀ_jaunais'!$BA$41</f>
        <v>0</v>
      </c>
      <c r="N384" s="139"/>
    </row>
    <row r="385" spans="1:14" x14ac:dyDescent="0.25">
      <c r="A385" s="2"/>
      <c r="B385" s="2"/>
      <c r="C385" s="2"/>
      <c r="D385" s="2"/>
      <c r="E385" s="2" t="s">
        <v>72</v>
      </c>
      <c r="F385" s="2">
        <v>3</v>
      </c>
      <c r="G385" s="2">
        <v>1</v>
      </c>
      <c r="H385" s="2">
        <v>1</v>
      </c>
      <c r="I385" s="155">
        <f>F385*'Darba algas UZŅEMŠANĀ_jaunais'!$BD$10</f>
        <v>416915.69865150005</v>
      </c>
      <c r="J385" s="155">
        <f>G385*'Darba algas UZŅEMŠANĀ_jaunais'!$BB$10</f>
        <v>51330.789187500006</v>
      </c>
      <c r="K385" s="155">
        <f>H385*'Darba algas UZŅEMŠANĀ_jaunais'!$BA$10</f>
        <v>10857.971642250001</v>
      </c>
      <c r="M385" s="139">
        <f>F385*'Darba algas UZŅEMŠANĀ_jaunais'!$BA$48</f>
        <v>264893.38500000001</v>
      </c>
      <c r="N385" s="139"/>
    </row>
    <row r="386" spans="1:14" x14ac:dyDescent="0.25">
      <c r="A386" s="2"/>
      <c r="B386" s="2"/>
      <c r="C386" s="2"/>
      <c r="D386" s="2"/>
      <c r="E386" s="2" t="s">
        <v>76</v>
      </c>
      <c r="F386" s="2">
        <v>0</v>
      </c>
      <c r="G386" s="2">
        <v>0</v>
      </c>
      <c r="H386" s="2">
        <v>0</v>
      </c>
      <c r="I386" s="155">
        <f>F386*'Darba algas UZŅEMŠANĀ_jaunais'!$BD$10</f>
        <v>0</v>
      </c>
      <c r="J386" s="155">
        <f>G386*'Darba algas UZŅEMŠANĀ_jaunais'!$BB$10</f>
        <v>0</v>
      </c>
      <c r="K386" s="155">
        <f>H386*'Darba algas UZŅEMŠANĀ_jaunais'!$BA$10</f>
        <v>0</v>
      </c>
      <c r="M386" s="139">
        <f>F386*'Darba algas UZŅEMŠANĀ_jaunais'!$BA$48</f>
        <v>0</v>
      </c>
      <c r="N386" s="139"/>
    </row>
    <row r="387" spans="1:14" x14ac:dyDescent="0.25">
      <c r="A387" s="2"/>
      <c r="B387" s="2"/>
      <c r="C387" s="2"/>
      <c r="D387" s="2"/>
      <c r="E387" s="2" t="s">
        <v>73</v>
      </c>
      <c r="F387" s="2">
        <v>3</v>
      </c>
      <c r="G387" s="2">
        <v>0</v>
      </c>
      <c r="H387" s="2">
        <v>0</v>
      </c>
      <c r="I387" s="155">
        <f>F387*'Darba algas UZŅEMŠANĀ_jaunais'!$BD$11</f>
        <v>276770.5904325</v>
      </c>
      <c r="J387" s="155">
        <f>ROUND(G387*'Darba algas UZŅEMŠANĀ_jaunais'!$BA$11,0)</f>
        <v>0</v>
      </c>
      <c r="K387" s="155">
        <f>ROUND(H387*'Darba algas UZŅEMŠANĀ_jaunais'!$BB$11,0)</f>
        <v>0</v>
      </c>
      <c r="M387" s="139">
        <f>F387*'Darba algas UZŅEMŠANĀ_jaunais'!$BA$55</f>
        <v>175850.17499999999</v>
      </c>
      <c r="N387" s="139"/>
    </row>
    <row r="388" spans="1:14" ht="12" thickBot="1" x14ac:dyDescent="0.3">
      <c r="A388" s="2"/>
      <c r="B388" s="2"/>
      <c r="C388" s="2"/>
      <c r="D388" s="2"/>
      <c r="E388" s="176" t="s">
        <v>77</v>
      </c>
      <c r="F388" s="176">
        <v>0</v>
      </c>
      <c r="G388" s="176">
        <v>0</v>
      </c>
      <c r="H388" s="176">
        <v>0</v>
      </c>
      <c r="I388" s="155">
        <f>ROUND(F388*'Darba algas UZŅEMŠANĀ_jaunais'!$BE$10,0)</f>
        <v>0</v>
      </c>
      <c r="J388" s="155">
        <f>G388*'Darba algas UZŅEMŠANĀ_jaunais'!$BB$10</f>
        <v>0</v>
      </c>
      <c r="K388" s="155">
        <f>H388*'Darba algas UZŅEMŠANĀ_jaunais'!$BA$10</f>
        <v>0</v>
      </c>
      <c r="M388" s="139">
        <f>F388*'Darba algas UZŅEMŠANĀ_jaunais'!$BA$48</f>
        <v>0</v>
      </c>
      <c r="N388" s="139"/>
    </row>
    <row r="389" spans="1:14" ht="12" thickBot="1" x14ac:dyDescent="0.3">
      <c r="A389" s="2"/>
      <c r="B389" s="2"/>
      <c r="D389" s="173" t="s">
        <v>179</v>
      </c>
      <c r="E389" s="174">
        <f>SUM(F389:H389)</f>
        <v>1930051.7003388437</v>
      </c>
      <c r="F389" s="175">
        <f>I372</f>
        <v>1669030.7233795938</v>
      </c>
      <c r="G389" s="175">
        <f>J372</f>
        <v>215447.49506250001</v>
      </c>
      <c r="H389" s="175">
        <f>K372</f>
        <v>45573.481896750003</v>
      </c>
      <c r="M389" s="139"/>
      <c r="N389" s="139"/>
    </row>
    <row r="390" spans="1:14" x14ac:dyDescent="0.25">
      <c r="A390" s="184" t="s">
        <v>93</v>
      </c>
      <c r="B390" s="5" t="s">
        <v>51</v>
      </c>
      <c r="C390" s="5" t="s">
        <v>7</v>
      </c>
      <c r="D390" s="5" t="s">
        <v>18</v>
      </c>
      <c r="E390" s="169" t="s">
        <v>80</v>
      </c>
      <c r="F390" s="5">
        <f>SUM(F391:F400,F402)</f>
        <v>2</v>
      </c>
      <c r="G390" s="5">
        <f>SUM(G391:G400,G402)</f>
        <v>2</v>
      </c>
      <c r="H390" s="5">
        <f>SUM(H391:H400,H402)</f>
        <v>1</v>
      </c>
      <c r="I390" s="170">
        <f>SUM(I391:I406)</f>
        <v>837449.36528699996</v>
      </c>
      <c r="J390" s="170">
        <f t="shared" ref="J390:K390" si="21">SUM(J391:J406)</f>
        <v>138572.42330175001</v>
      </c>
      <c r="K390" s="170">
        <f t="shared" si="21"/>
        <v>17357.755127250002</v>
      </c>
      <c r="L390" s="153">
        <f>SUM(I390:K390)</f>
        <v>993379.54371599993</v>
      </c>
      <c r="M390" s="139">
        <f>SUM(M391:M406)</f>
        <v>523281.33000000007</v>
      </c>
      <c r="N390" s="139">
        <f>(F390-1)*'Darba algas UZŅEMŠANĀ_jaunais'!BE15</f>
        <v>13856.88</v>
      </c>
    </row>
    <row r="391" spans="1:14" x14ac:dyDescent="0.25">
      <c r="A391" s="2"/>
      <c r="B391" s="2"/>
      <c r="C391" s="2" t="s">
        <v>9</v>
      </c>
      <c r="D391" s="2" t="s">
        <v>10</v>
      </c>
      <c r="E391" s="2" t="s">
        <v>64</v>
      </c>
      <c r="F391" s="2">
        <v>1</v>
      </c>
      <c r="G391" s="2">
        <v>1</v>
      </c>
      <c r="H391" s="2">
        <v>1</v>
      </c>
      <c r="I391" s="155">
        <f>F391*'Darba algas UZŅEMŠANĀ_jaunais'!$BD$8</f>
        <v>236019.93968050004</v>
      </c>
      <c r="J391" s="155">
        <f>G391*'Darba algas UZŅEMŠANĀ_jaunais'!$BB$8</f>
        <v>82058.352937500007</v>
      </c>
      <c r="K391" s="155">
        <f>H391*'Darba algas UZŅEMŠANĀ_jaunais'!$BA$8</f>
        <v>17357.755127250002</v>
      </c>
      <c r="M391" s="139">
        <f>F391*'Darba algas UZŅEMŠANĀ_jaunais'!$BA$41</f>
        <v>141154.49500000002</v>
      </c>
      <c r="N391" s="139"/>
    </row>
    <row r="392" spans="1:14" x14ac:dyDescent="0.25">
      <c r="A392" s="2"/>
      <c r="B392" s="2"/>
      <c r="C392" s="2" t="s">
        <v>10</v>
      </c>
      <c r="D392" s="2"/>
      <c r="E392" s="2" t="s">
        <v>82</v>
      </c>
      <c r="F392" s="2">
        <v>0</v>
      </c>
      <c r="G392" s="2">
        <v>0</v>
      </c>
      <c r="H392" s="2">
        <v>0</v>
      </c>
      <c r="I392" s="155">
        <f>F392*'Darba algas UZŅEMŠANĀ_jaunais'!$BD$8</f>
        <v>0</v>
      </c>
      <c r="J392" s="155">
        <f>G392*'Darba algas UZŅEMŠANĀ_jaunais'!$BB$8</f>
        <v>0</v>
      </c>
      <c r="K392" s="155">
        <f>H392*'Darba algas UZŅEMŠANĀ_jaunais'!$BA$8</f>
        <v>0</v>
      </c>
      <c r="M392" s="139">
        <f>F392*'Darba algas UZŅEMŠANĀ_jaunais'!$BA$41</f>
        <v>0</v>
      </c>
      <c r="N392" s="139"/>
    </row>
    <row r="393" spans="1:14" ht="14.5" x14ac:dyDescent="0.35">
      <c r="A393" s="2"/>
      <c r="B393" s="2"/>
      <c r="C393" s="2"/>
      <c r="D393" s="2"/>
      <c r="E393" s="2" t="s">
        <v>202</v>
      </c>
      <c r="F393" s="197">
        <v>0</v>
      </c>
      <c r="G393" s="2">
        <v>1</v>
      </c>
      <c r="H393" s="2">
        <v>0</v>
      </c>
      <c r="I393" s="155">
        <f>F393*'Darba algas UZŅEMŠANĀ_jaunais'!$BD$8</f>
        <v>0</v>
      </c>
      <c r="J393" s="155">
        <f>G393*'Darba algas UZŅEMŠANĀ_jaunais'!$BC$8</f>
        <v>56514.070364250001</v>
      </c>
      <c r="K393" s="155">
        <f>H393*'Darba algas UZŅEMŠANĀ_jaunais'!$BA$8</f>
        <v>0</v>
      </c>
      <c r="M393" s="141">
        <f>F393*'Darba algas UZŅEMŠANĀ_jaunais'!$BA$41</f>
        <v>0</v>
      </c>
      <c r="N393" s="139"/>
    </row>
    <row r="394" spans="1:14" x14ac:dyDescent="0.25">
      <c r="A394" s="2"/>
      <c r="B394" s="2"/>
      <c r="C394" s="2"/>
      <c r="D394" s="2"/>
      <c r="E394" s="2" t="s">
        <v>83</v>
      </c>
      <c r="F394" s="2">
        <v>0</v>
      </c>
      <c r="G394" s="2">
        <v>0</v>
      </c>
      <c r="H394" s="2">
        <v>0</v>
      </c>
      <c r="I394" s="155">
        <f>F394*'Darba algas UZŅEMŠANĀ_jaunais'!$BD$8</f>
        <v>0</v>
      </c>
      <c r="J394" s="155">
        <f>G394*'Darba algas UZŅEMŠANĀ_jaunais'!$BB$8</f>
        <v>0</v>
      </c>
      <c r="K394" s="155">
        <f>H394*'Darba algas UZŅEMŠANĀ_jaunais'!$BA$8</f>
        <v>0</v>
      </c>
      <c r="M394" s="139">
        <f>F394*'Darba algas UZŅEMŠANĀ_jaunais'!$BA$41</f>
        <v>0</v>
      </c>
      <c r="N394" s="139"/>
    </row>
    <row r="395" spans="1:14" x14ac:dyDescent="0.25">
      <c r="A395" s="2"/>
      <c r="B395" s="2"/>
      <c r="C395" s="2"/>
      <c r="D395" s="2"/>
      <c r="E395" s="2" t="s">
        <v>66</v>
      </c>
      <c r="F395" s="2">
        <v>0</v>
      </c>
      <c r="G395" s="2">
        <v>0</v>
      </c>
      <c r="H395" s="2">
        <v>0</v>
      </c>
      <c r="I395" s="155">
        <f>F395*'Darba algas UZŅEMŠANĀ_jaunais'!$BD$8</f>
        <v>0</v>
      </c>
      <c r="J395" s="155">
        <f>G395*'Darba algas UZŅEMŠANĀ_jaunais'!$BB$8</f>
        <v>0</v>
      </c>
      <c r="K395" s="155">
        <f>H395*'Darba algas UZŅEMŠANĀ_jaunais'!$BA$8</f>
        <v>0</v>
      </c>
      <c r="M395" s="139">
        <f>F395*'Darba algas UZŅEMŠANĀ_jaunais'!$BA$41</f>
        <v>0</v>
      </c>
      <c r="N395" s="139"/>
    </row>
    <row r="396" spans="1:14" x14ac:dyDescent="0.25">
      <c r="A396" s="2"/>
      <c r="B396" s="2"/>
      <c r="C396" s="2"/>
      <c r="D396" s="2"/>
      <c r="E396" s="2" t="s">
        <v>67</v>
      </c>
      <c r="F396" s="2">
        <v>0</v>
      </c>
      <c r="G396" s="2">
        <v>0</v>
      </c>
      <c r="H396" s="2">
        <v>0</v>
      </c>
      <c r="I396" s="155">
        <f>F396*'Darba algas UZŅEMŠANĀ_jaunais'!$BD$8</f>
        <v>0</v>
      </c>
      <c r="J396" s="155">
        <f>G396*'Darba algas UZŅEMŠANĀ_jaunais'!$BB$8</f>
        <v>0</v>
      </c>
      <c r="K396" s="155">
        <f>H396*'Darba algas UZŅEMŠANĀ_jaunais'!$BA$8</f>
        <v>0</v>
      </c>
      <c r="M396" s="139">
        <f>F396*'Darba algas UZŅEMŠANĀ_jaunais'!$BA$41</f>
        <v>0</v>
      </c>
      <c r="N396" s="139"/>
    </row>
    <row r="397" spans="1:14" x14ac:dyDescent="0.25">
      <c r="A397" s="2"/>
      <c r="B397" s="2"/>
      <c r="C397" s="2"/>
      <c r="D397" s="2"/>
      <c r="E397" s="2" t="s">
        <v>74</v>
      </c>
      <c r="F397" s="2">
        <v>0</v>
      </c>
      <c r="G397" s="2">
        <v>0</v>
      </c>
      <c r="H397" s="2">
        <v>0</v>
      </c>
      <c r="I397" s="155">
        <f>F397*'Darba algas UZŅEMŠANĀ_jaunais'!$BD$8</f>
        <v>0</v>
      </c>
      <c r="J397" s="155">
        <f>G397*'Darba algas UZŅEMŠANĀ_jaunais'!$BB$8</f>
        <v>0</v>
      </c>
      <c r="K397" s="155">
        <f>H397*'Darba algas UZŅEMŠANĀ_jaunais'!$BA$8</f>
        <v>0</v>
      </c>
      <c r="M397" s="139">
        <f>F397*'Darba algas UZŅEMŠANĀ_jaunais'!$BA$41</f>
        <v>0</v>
      </c>
      <c r="N397" s="139"/>
    </row>
    <row r="398" spans="1:14" x14ac:dyDescent="0.25">
      <c r="A398" s="2"/>
      <c r="B398" s="2"/>
      <c r="C398" s="2"/>
      <c r="D398" s="2"/>
      <c r="E398" s="2" t="s">
        <v>75</v>
      </c>
      <c r="F398" s="2">
        <v>0</v>
      </c>
      <c r="G398" s="2">
        <v>0</v>
      </c>
      <c r="H398" s="2">
        <v>0</v>
      </c>
      <c r="I398" s="155">
        <f>F398*'Darba algas UZŅEMŠANĀ_jaunais'!$BD$8</f>
        <v>0</v>
      </c>
      <c r="J398" s="155">
        <f>G398*'Darba algas UZŅEMŠANĀ_jaunais'!$BB$8</f>
        <v>0</v>
      </c>
      <c r="K398" s="155">
        <f>H398*'Darba algas UZŅEMŠANĀ_jaunais'!$BA$8</f>
        <v>0</v>
      </c>
      <c r="M398" s="139">
        <f>F398*'Darba algas UZŅEMŠANĀ_jaunais'!$BA$41</f>
        <v>0</v>
      </c>
      <c r="N398" s="139"/>
    </row>
    <row r="399" spans="1:14" x14ac:dyDescent="0.25">
      <c r="A399" s="2"/>
      <c r="B399" s="2"/>
      <c r="C399" s="2"/>
      <c r="D399" s="2"/>
      <c r="E399" s="2" t="s">
        <v>69</v>
      </c>
      <c r="F399" s="2">
        <v>0</v>
      </c>
      <c r="G399" s="2">
        <v>0</v>
      </c>
      <c r="H399" s="2">
        <v>0</v>
      </c>
      <c r="I399" s="155">
        <f>F399*'Darba algas UZŅEMŠANĀ_jaunais'!$BD$8</f>
        <v>0</v>
      </c>
      <c r="J399" s="155">
        <f>G399*'Darba algas UZŅEMŠANĀ_jaunais'!$BB$8</f>
        <v>0</v>
      </c>
      <c r="K399" s="155">
        <f>H399*'Darba algas UZŅEMŠANĀ_jaunais'!$BA$8</f>
        <v>0</v>
      </c>
      <c r="M399" s="139">
        <f>F399*'Darba algas UZŅEMŠANĀ_jaunais'!$BA$41</f>
        <v>0</v>
      </c>
      <c r="N399" s="139"/>
    </row>
    <row r="400" spans="1:14" ht="14.5" x14ac:dyDescent="0.35">
      <c r="A400" s="2"/>
      <c r="B400" s="2"/>
      <c r="C400" s="2"/>
      <c r="D400" s="2"/>
      <c r="E400" s="2" t="s">
        <v>207</v>
      </c>
      <c r="F400" s="197">
        <v>1</v>
      </c>
      <c r="G400" s="2">
        <v>0</v>
      </c>
      <c r="H400" s="2">
        <v>0</v>
      </c>
      <c r="I400" s="374">
        <v>0</v>
      </c>
      <c r="J400" s="155">
        <f>G400*'Darba algas UZŅEMŠANĀ_jaunais'!$BB$8</f>
        <v>0</v>
      </c>
      <c r="K400" s="155">
        <f>H400*'Darba algas UZŅEMŠANĀ_jaunais'!$BA$8</f>
        <v>0</v>
      </c>
      <c r="M400" s="141">
        <v>0</v>
      </c>
      <c r="N400" s="139"/>
    </row>
    <row r="401" spans="1:14" x14ac:dyDescent="0.25">
      <c r="A401" s="2"/>
      <c r="B401" s="2"/>
      <c r="C401" s="2"/>
      <c r="D401" s="2"/>
      <c r="E401" s="2" t="s">
        <v>70</v>
      </c>
      <c r="F401" s="2">
        <v>1</v>
      </c>
      <c r="G401" s="2">
        <v>0</v>
      </c>
      <c r="H401" s="2">
        <v>0</v>
      </c>
      <c r="I401" s="155">
        <f>F401*'Darba algas UZŅEMŠANĀ_jaunais'!$BD$10</f>
        <v>138971.89955050001</v>
      </c>
      <c r="J401" s="155">
        <f>G401*'Darba algas UZŅEMŠANĀ_jaunais'!$BB$10</f>
        <v>0</v>
      </c>
      <c r="K401" s="155">
        <f>H401*'Darba algas UZŅEMŠANĀ_jaunais'!$BA$10</f>
        <v>0</v>
      </c>
      <c r="M401" s="139">
        <f>F401*'Darba algas UZŅEMŠANĀ_jaunais'!$BA$48</f>
        <v>88297.795000000013</v>
      </c>
      <c r="N401" s="139"/>
    </row>
    <row r="402" spans="1:14" x14ac:dyDescent="0.25">
      <c r="A402" s="2"/>
      <c r="B402" s="2"/>
      <c r="C402" s="2"/>
      <c r="D402" s="2"/>
      <c r="E402" s="2" t="s">
        <v>87</v>
      </c>
      <c r="F402" s="2">
        <v>0</v>
      </c>
      <c r="G402" s="2">
        <v>0</v>
      </c>
      <c r="H402" s="2">
        <v>0</v>
      </c>
      <c r="I402" s="155">
        <f>F402*'Darba algas UZŅEMŠANĀ_jaunais'!$BD$8</f>
        <v>0</v>
      </c>
      <c r="J402" s="155">
        <f>G402*'Darba algas UZŅEMŠANĀ_jaunais'!$BB$8</f>
        <v>0</v>
      </c>
      <c r="K402" s="155">
        <f>H402*'Darba algas UZŅEMŠANĀ_jaunais'!$BA$8</f>
        <v>0</v>
      </c>
      <c r="M402" s="139">
        <f>F402*'Darba algas UZŅEMŠANĀ_jaunais'!$BA$41</f>
        <v>0</v>
      </c>
      <c r="N402" s="139"/>
    </row>
    <row r="403" spans="1:14" x14ac:dyDescent="0.25">
      <c r="A403" s="2"/>
      <c r="B403" s="2"/>
      <c r="C403" s="2"/>
      <c r="D403" s="2"/>
      <c r="E403" s="2" t="s">
        <v>72</v>
      </c>
      <c r="F403" s="2">
        <v>2</v>
      </c>
      <c r="G403" s="2">
        <v>0</v>
      </c>
      <c r="H403" s="2">
        <v>0</v>
      </c>
      <c r="I403" s="155">
        <f>F403*'Darba algas UZŅEMŠANĀ_jaunais'!$BD$10</f>
        <v>277943.79910100001</v>
      </c>
      <c r="J403" s="155">
        <f>G403*'Darba algas UZŅEMŠANĀ_jaunais'!$BB$10</f>
        <v>0</v>
      </c>
      <c r="K403" s="155">
        <f>H403*'Darba algas UZŅEMŠANĀ_jaunais'!$BA$10</f>
        <v>0</v>
      </c>
      <c r="M403" s="139">
        <f>F403*'Darba algas UZŅEMŠANĀ_jaunais'!$BA$48</f>
        <v>176595.59000000003</v>
      </c>
      <c r="N403" s="139"/>
    </row>
    <row r="404" spans="1:14" x14ac:dyDescent="0.25">
      <c r="A404" s="2"/>
      <c r="B404" s="2"/>
      <c r="C404" s="2"/>
      <c r="D404" s="2"/>
      <c r="E404" s="2" t="s">
        <v>76</v>
      </c>
      <c r="F404" s="2">
        <v>0</v>
      </c>
      <c r="G404" s="2">
        <v>0</v>
      </c>
      <c r="H404" s="2">
        <v>0</v>
      </c>
      <c r="I404" s="155">
        <f>F404*'Darba algas UZŅEMŠANĀ_jaunais'!$BD$10</f>
        <v>0</v>
      </c>
      <c r="J404" s="155">
        <f>G404*'Darba algas UZŅEMŠANĀ_jaunais'!$BB$10</f>
        <v>0</v>
      </c>
      <c r="K404" s="155">
        <f>H404*'Darba algas UZŅEMŠANĀ_jaunais'!$BA$10</f>
        <v>0</v>
      </c>
      <c r="M404" s="139">
        <f>F404*'Darba algas UZŅEMŠANĀ_jaunais'!$BA$48</f>
        <v>0</v>
      </c>
      <c r="N404" s="139"/>
    </row>
    <row r="405" spans="1:14" x14ac:dyDescent="0.25">
      <c r="A405" s="2"/>
      <c r="B405" s="2"/>
      <c r="C405" s="2"/>
      <c r="D405" s="2"/>
      <c r="E405" s="2" t="s">
        <v>73</v>
      </c>
      <c r="F405" s="2">
        <v>2</v>
      </c>
      <c r="G405" s="2">
        <v>0</v>
      </c>
      <c r="H405" s="2">
        <v>0</v>
      </c>
      <c r="I405" s="155">
        <f>F405*'Darba algas UZŅEMŠANĀ_jaunais'!$BD$11</f>
        <v>184513.72695499999</v>
      </c>
      <c r="J405" s="155">
        <f>ROUND(G405*'Darba algas UZŅEMŠANĀ_jaunais'!$BA$11,0)</f>
        <v>0</v>
      </c>
      <c r="K405" s="155">
        <f>ROUND(H405*'Darba algas UZŅEMŠANĀ_jaunais'!$BB$11,0)</f>
        <v>0</v>
      </c>
      <c r="M405" s="139">
        <f>F405*'Darba algas UZŅEMŠANĀ_jaunais'!$BA$55</f>
        <v>117233.45</v>
      </c>
      <c r="N405" s="139"/>
    </row>
    <row r="406" spans="1:14" ht="12" thickBot="1" x14ac:dyDescent="0.3">
      <c r="A406" s="2"/>
      <c r="B406" s="2"/>
      <c r="C406" s="2"/>
      <c r="D406" s="2"/>
      <c r="E406" s="176" t="s">
        <v>77</v>
      </c>
      <c r="F406" s="176">
        <v>0</v>
      </c>
      <c r="G406" s="176">
        <v>0</v>
      </c>
      <c r="H406" s="176">
        <v>0</v>
      </c>
      <c r="I406" s="155">
        <f>ROUND(F406*'Darba algas UZŅEMŠANĀ_jaunais'!$BE$10,0)</f>
        <v>0</v>
      </c>
      <c r="J406" s="155">
        <f>G406*'Darba algas UZŅEMŠANĀ_jaunais'!$BB$10</f>
        <v>0</v>
      </c>
      <c r="K406" s="155">
        <f>H406*'Darba algas UZŅEMŠANĀ_jaunais'!$BA$10</f>
        <v>0</v>
      </c>
      <c r="M406" s="139">
        <f>F406*'Darba algas UZŅEMŠANĀ_jaunais'!$BA$48</f>
        <v>0</v>
      </c>
      <c r="N406" s="139"/>
    </row>
    <row r="407" spans="1:14" ht="12" thickBot="1" x14ac:dyDescent="0.3">
      <c r="A407" s="2"/>
      <c r="B407" s="2"/>
      <c r="D407" s="173" t="s">
        <v>179</v>
      </c>
      <c r="E407" s="174">
        <f>SUM(F407:H407)</f>
        <v>993379.54371599993</v>
      </c>
      <c r="F407" s="175">
        <f>I390</f>
        <v>837449.36528699996</v>
      </c>
      <c r="G407" s="175">
        <f>J390</f>
        <v>138572.42330175001</v>
      </c>
      <c r="H407" s="175">
        <f>K390</f>
        <v>17357.755127250002</v>
      </c>
      <c r="M407" s="139"/>
      <c r="N407" s="139"/>
    </row>
    <row r="408" spans="1:14" x14ac:dyDescent="0.25">
      <c r="A408" s="184" t="s">
        <v>91</v>
      </c>
      <c r="B408" s="5" t="s">
        <v>52</v>
      </c>
      <c r="C408" s="5" t="s">
        <v>7</v>
      </c>
      <c r="D408" s="187" t="s">
        <v>18</v>
      </c>
      <c r="E408" s="169" t="s">
        <v>80</v>
      </c>
      <c r="F408" s="5">
        <f>SUM(F409:F418,F420)</f>
        <v>6</v>
      </c>
      <c r="G408" s="5">
        <f>SUM(G409:G418,G420)</f>
        <v>2</v>
      </c>
      <c r="H408" s="5">
        <f>SUM(H409:H418,H420)</f>
        <v>2</v>
      </c>
      <c r="I408" s="170">
        <f>SUM(I409:I424)</f>
        <v>2757950.3888465008</v>
      </c>
      <c r="J408" s="170">
        <f t="shared" ref="J408:K408" si="22">SUM(J409:J424)</f>
        <v>215447.49506250001</v>
      </c>
      <c r="K408" s="170">
        <f t="shared" si="22"/>
        <v>45573.481896750003</v>
      </c>
      <c r="L408" s="153">
        <f>SUM(I408:K408)</f>
        <v>3018971.3658057512</v>
      </c>
      <c r="M408" s="139">
        <f>SUM(M409:M424)</f>
        <v>1699478.4350000003</v>
      </c>
      <c r="N408" s="139">
        <f>F408*'Darba algas UZŅEMŠANĀ_jaunais'!BE15</f>
        <v>83141.279999999999</v>
      </c>
    </row>
    <row r="409" spans="1:14" x14ac:dyDescent="0.25">
      <c r="A409" s="2"/>
      <c r="B409" s="2"/>
      <c r="C409" s="2" t="s">
        <v>9</v>
      </c>
      <c r="D409" s="2" t="s">
        <v>10</v>
      </c>
      <c r="E409" s="2" t="s">
        <v>64</v>
      </c>
      <c r="F409" s="2">
        <v>1</v>
      </c>
      <c r="G409" s="2">
        <v>0</v>
      </c>
      <c r="H409" s="2">
        <v>0</v>
      </c>
      <c r="I409" s="155">
        <f>F409*'Darba algas UZŅEMŠANĀ_jaunais'!$BD$8</f>
        <v>236019.93968050004</v>
      </c>
      <c r="J409" s="155">
        <f>G409*'Darba algas UZŅEMŠANĀ_jaunais'!$BB$8</f>
        <v>0</v>
      </c>
      <c r="K409" s="155">
        <f>H409*'Darba algas UZŅEMŠANĀ_jaunais'!$BA$8</f>
        <v>0</v>
      </c>
      <c r="M409" s="139">
        <f>F409*'Darba algas UZŅEMŠANĀ_jaunais'!$BA$41</f>
        <v>141154.49500000002</v>
      </c>
      <c r="N409" s="139"/>
    </row>
    <row r="410" spans="1:14" x14ac:dyDescent="0.25">
      <c r="A410" s="2"/>
      <c r="B410" s="2"/>
      <c r="C410" s="2" t="s">
        <v>10</v>
      </c>
      <c r="D410" s="188" t="s">
        <v>24</v>
      </c>
      <c r="E410" s="2" t="s">
        <v>82</v>
      </c>
      <c r="F410" s="2">
        <v>0</v>
      </c>
      <c r="G410" s="2">
        <v>0</v>
      </c>
      <c r="H410" s="2">
        <v>0</v>
      </c>
      <c r="I410" s="155">
        <f>F410*'Darba algas UZŅEMŠANĀ_jaunais'!$BD$8</f>
        <v>0</v>
      </c>
      <c r="J410" s="155">
        <f>G410*'Darba algas UZŅEMŠANĀ_jaunais'!$BB$8</f>
        <v>0</v>
      </c>
      <c r="K410" s="155">
        <f>H410*'Darba algas UZŅEMŠANĀ_jaunais'!$BA$8</f>
        <v>0</v>
      </c>
      <c r="M410" s="139">
        <f>F410*'Darba algas UZŅEMŠANĀ_jaunais'!$BA$41</f>
        <v>0</v>
      </c>
      <c r="N410" s="139"/>
    </row>
    <row r="411" spans="1:14" x14ac:dyDescent="0.25">
      <c r="A411" s="2"/>
      <c r="B411" s="2"/>
      <c r="C411" s="2" t="s">
        <v>11</v>
      </c>
      <c r="D411" s="2" t="s">
        <v>33</v>
      </c>
      <c r="E411" s="2" t="s">
        <v>65</v>
      </c>
      <c r="F411" s="2">
        <v>1</v>
      </c>
      <c r="G411" s="2">
        <v>0</v>
      </c>
      <c r="H411" s="2">
        <v>0</v>
      </c>
      <c r="I411" s="155">
        <f>F411*'Darba algas UZŅEMŠANĀ_jaunais'!$BD$8</f>
        <v>236019.93968050004</v>
      </c>
      <c r="J411" s="155">
        <f>G411*'Darba algas UZŅEMŠANĀ_jaunais'!$BB$8</f>
        <v>0</v>
      </c>
      <c r="K411" s="155">
        <f>H411*'Darba algas UZŅEMŠANĀ_jaunais'!$BA$8</f>
        <v>0</v>
      </c>
      <c r="M411" s="139">
        <f>F411*'Darba algas UZŅEMŠANĀ_jaunais'!$BA$41</f>
        <v>141154.49500000002</v>
      </c>
      <c r="N411" s="139"/>
    </row>
    <row r="412" spans="1:14" x14ac:dyDescent="0.25">
      <c r="A412" s="2"/>
      <c r="B412" s="2"/>
      <c r="C412" s="2" t="s">
        <v>21</v>
      </c>
      <c r="D412" s="188" t="s">
        <v>25</v>
      </c>
      <c r="E412" s="2" t="s">
        <v>83</v>
      </c>
      <c r="F412" s="2">
        <v>1</v>
      </c>
      <c r="G412" s="2">
        <v>1</v>
      </c>
      <c r="H412" s="2">
        <v>1</v>
      </c>
      <c r="I412" s="155">
        <f>F412*'Darba algas UZŅEMŠANĀ_jaunais'!$BD$8</f>
        <v>236019.93968050004</v>
      </c>
      <c r="J412" s="155">
        <f>G412*'Darba algas UZŅEMŠANĀ_jaunais'!$BB$8</f>
        <v>82058.352937500007</v>
      </c>
      <c r="K412" s="155">
        <f>H412*'Darba algas UZŅEMŠANĀ_jaunais'!$BA$8</f>
        <v>17357.755127250002</v>
      </c>
      <c r="M412" s="139">
        <f>F412*'Darba algas UZŅEMŠANĀ_jaunais'!$BA$41</f>
        <v>141154.49500000002</v>
      </c>
      <c r="N412" s="139"/>
    </row>
    <row r="413" spans="1:14" x14ac:dyDescent="0.25">
      <c r="A413" s="2"/>
      <c r="B413" s="2"/>
      <c r="C413" s="2" t="s">
        <v>12</v>
      </c>
      <c r="D413" s="188" t="s">
        <v>26</v>
      </c>
      <c r="E413" s="2" t="s">
        <v>66</v>
      </c>
      <c r="F413" s="2">
        <v>1</v>
      </c>
      <c r="G413" s="2">
        <v>0</v>
      </c>
      <c r="H413" s="2">
        <v>0</v>
      </c>
      <c r="I413" s="155">
        <f>F413*'Darba algas UZŅEMŠANĀ_jaunais'!$BD$8</f>
        <v>236019.93968050004</v>
      </c>
      <c r="J413" s="155">
        <f>G413*'Darba algas UZŅEMŠANĀ_jaunais'!$BB$8</f>
        <v>0</v>
      </c>
      <c r="K413" s="155">
        <f>H413*'Darba algas UZŅEMŠANĀ_jaunais'!$BA$8</f>
        <v>0</v>
      </c>
      <c r="M413" s="139">
        <f>F413*'Darba algas UZŅEMŠANĀ_jaunais'!$BA$41</f>
        <v>141154.49500000002</v>
      </c>
      <c r="N413" s="139"/>
    </row>
    <row r="414" spans="1:14" x14ac:dyDescent="0.25">
      <c r="A414" s="2"/>
      <c r="B414" s="2"/>
      <c r="C414" s="3" t="s">
        <v>26</v>
      </c>
      <c r="D414" s="188" t="s">
        <v>14</v>
      </c>
      <c r="E414" s="2" t="s">
        <v>67</v>
      </c>
      <c r="F414" s="2">
        <v>0</v>
      </c>
      <c r="G414" s="2">
        <v>0</v>
      </c>
      <c r="H414" s="2">
        <v>0</v>
      </c>
      <c r="I414" s="155">
        <f>F414*'Darba algas UZŅEMŠANĀ_jaunais'!$BD$8</f>
        <v>0</v>
      </c>
      <c r="J414" s="155">
        <f>G414*'Darba algas UZŅEMŠANĀ_jaunais'!$BB$8</f>
        <v>0</v>
      </c>
      <c r="K414" s="155">
        <f>H414*'Darba algas UZŅEMŠANĀ_jaunais'!$BA$8</f>
        <v>0</v>
      </c>
      <c r="M414" s="139">
        <f>F414*'Darba algas UZŅEMŠANĀ_jaunais'!$BA$41</f>
        <v>0</v>
      </c>
      <c r="N414" s="139"/>
    </row>
    <row r="415" spans="1:14" x14ac:dyDescent="0.25">
      <c r="A415" s="2"/>
      <c r="B415" s="2"/>
      <c r="C415" s="2" t="s">
        <v>47</v>
      </c>
      <c r="D415" s="2" t="s">
        <v>53</v>
      </c>
      <c r="E415" s="2" t="s">
        <v>74</v>
      </c>
      <c r="F415" s="2">
        <v>1</v>
      </c>
      <c r="G415" s="2">
        <v>0</v>
      </c>
      <c r="H415" s="2">
        <v>0</v>
      </c>
      <c r="I415" s="155">
        <f>F415*'Darba algas UZŅEMŠANĀ_jaunais'!$BD$8</f>
        <v>236019.93968050004</v>
      </c>
      <c r="J415" s="155">
        <f>G415*'Darba algas UZŅEMŠANĀ_jaunais'!$BB$8</f>
        <v>0</v>
      </c>
      <c r="K415" s="155">
        <f>H415*'Darba algas UZŅEMŠANĀ_jaunais'!$BA$8</f>
        <v>0</v>
      </c>
      <c r="M415" s="139">
        <f>F415*'Darba algas UZŅEMŠANĀ_jaunais'!$BA$41</f>
        <v>141154.49500000002</v>
      </c>
      <c r="N415" s="139"/>
    </row>
    <row r="416" spans="1:14" x14ac:dyDescent="0.25">
      <c r="A416" s="2"/>
      <c r="B416" s="2"/>
      <c r="C416" s="2" t="s">
        <v>27</v>
      </c>
      <c r="D416" s="2"/>
      <c r="E416" s="2" t="s">
        <v>75</v>
      </c>
      <c r="F416" s="2">
        <v>0</v>
      </c>
      <c r="G416" s="2">
        <v>0</v>
      </c>
      <c r="H416" s="2">
        <v>0</v>
      </c>
      <c r="I416" s="155">
        <f>F416*'Darba algas UZŅEMŠANĀ_jaunais'!$BD$8</f>
        <v>0</v>
      </c>
      <c r="J416" s="155">
        <f>G416*'Darba algas UZŅEMŠANĀ_jaunais'!$BB$8</f>
        <v>0</v>
      </c>
      <c r="K416" s="155">
        <f>H416*'Darba algas UZŅEMŠANĀ_jaunais'!$BA$8</f>
        <v>0</v>
      </c>
      <c r="M416" s="139">
        <f>F416*'Darba algas UZŅEMŠANĀ_jaunais'!$BA$41</f>
        <v>0</v>
      </c>
      <c r="N416" s="139"/>
    </row>
    <row r="417" spans="1:14" x14ac:dyDescent="0.25">
      <c r="A417" s="2"/>
      <c r="B417" s="2"/>
      <c r="C417" s="2"/>
      <c r="D417" s="188"/>
      <c r="E417" s="2" t="s">
        <v>69</v>
      </c>
      <c r="F417" s="2">
        <v>0</v>
      </c>
      <c r="G417" s="2">
        <v>1</v>
      </c>
      <c r="H417" s="2">
        <v>1</v>
      </c>
      <c r="I417" s="155">
        <f>F417*'Darba algas UZŅEMŠANĀ_jaunais'!$BD$8</f>
        <v>0</v>
      </c>
      <c r="J417" s="155">
        <f>G417*'Darba algas UZŅEMŠANĀ_jaunais'!$BB$8</f>
        <v>82058.352937500007</v>
      </c>
      <c r="K417" s="155">
        <f>H417*'Darba algas UZŅEMŠANĀ_jaunais'!$BA$8</f>
        <v>17357.755127250002</v>
      </c>
      <c r="M417" s="139">
        <f>F417*'Darba algas UZŅEMŠANĀ_jaunais'!$BA$41</f>
        <v>0</v>
      </c>
      <c r="N417" s="139"/>
    </row>
    <row r="418" spans="1:14" x14ac:dyDescent="0.25">
      <c r="A418" s="2"/>
      <c r="B418" s="2"/>
      <c r="C418" s="2"/>
      <c r="D418" s="188"/>
      <c r="E418" s="2" t="s">
        <v>209</v>
      </c>
      <c r="F418" s="197">
        <v>1</v>
      </c>
      <c r="G418" s="2">
        <v>0</v>
      </c>
      <c r="H418" s="2">
        <v>0</v>
      </c>
      <c r="I418" s="155">
        <f>F418*'Darba algas UZŅEMŠANĀ_jaunais'!$BD$8</f>
        <v>236019.93968050004</v>
      </c>
      <c r="J418" s="155">
        <f>G418*'Darba algas UZŅEMŠANĀ_jaunais'!$BB$8</f>
        <v>0</v>
      </c>
      <c r="K418" s="155">
        <f>H418*'Darba algas UZŅEMŠANĀ_jaunais'!$BA$8</f>
        <v>0</v>
      </c>
      <c r="M418" s="139">
        <f>F418*'Darba algas UZŅEMŠANĀ_jaunais'!$BA$41</f>
        <v>141154.49500000002</v>
      </c>
      <c r="N418" s="139"/>
    </row>
    <row r="419" spans="1:14" x14ac:dyDescent="0.25">
      <c r="A419" s="2"/>
      <c r="B419" s="2"/>
      <c r="C419" s="2"/>
      <c r="D419" s="188"/>
      <c r="E419" s="2" t="s">
        <v>70</v>
      </c>
      <c r="F419" s="2">
        <v>1</v>
      </c>
      <c r="G419" s="2">
        <v>0</v>
      </c>
      <c r="H419" s="2">
        <v>0</v>
      </c>
      <c r="I419" s="155">
        <f>F419*'Darba algas UZŅEMŠANĀ_jaunais'!$BD$10</f>
        <v>138971.89955050001</v>
      </c>
      <c r="J419" s="155">
        <f>G419*'Darba algas UZŅEMŠANĀ_jaunais'!$BB$10</f>
        <v>0</v>
      </c>
      <c r="K419" s="155">
        <f>H419*'Darba algas UZŅEMŠANĀ_jaunais'!$BA$10</f>
        <v>0</v>
      </c>
      <c r="M419" s="139">
        <f>F419*'Darba algas UZŅEMŠANĀ_jaunais'!$BA$48</f>
        <v>88297.795000000013</v>
      </c>
      <c r="N419" s="139"/>
    </row>
    <row r="420" spans="1:14" x14ac:dyDescent="0.25">
      <c r="A420" s="2"/>
      <c r="B420" s="2"/>
      <c r="C420" s="2"/>
      <c r="D420" s="188"/>
      <c r="E420" s="2" t="s">
        <v>87</v>
      </c>
      <c r="F420" s="2">
        <v>0</v>
      </c>
      <c r="G420" s="2">
        <v>0</v>
      </c>
      <c r="H420" s="2">
        <v>0</v>
      </c>
      <c r="I420" s="155">
        <f>F420*'Darba algas UZŅEMŠANĀ_jaunais'!$BD$8</f>
        <v>0</v>
      </c>
      <c r="J420" s="155">
        <f>G420*'Darba algas UZŅEMŠANĀ_jaunais'!$BB$8</f>
        <v>0</v>
      </c>
      <c r="K420" s="155">
        <f>H420*'Darba algas UZŅEMŠANĀ_jaunais'!$BA$8</f>
        <v>0</v>
      </c>
      <c r="M420" s="139">
        <f>F420*'Darba algas UZŅEMŠANĀ_jaunais'!$BA$41</f>
        <v>0</v>
      </c>
      <c r="N420" s="139"/>
    </row>
    <row r="421" spans="1:14" x14ac:dyDescent="0.25">
      <c r="A421" s="2"/>
      <c r="B421" s="2"/>
      <c r="C421" s="2"/>
      <c r="D421" s="188"/>
      <c r="E421" s="2" t="s">
        <v>72</v>
      </c>
      <c r="F421" s="2">
        <v>4</v>
      </c>
      <c r="G421" s="2">
        <v>1</v>
      </c>
      <c r="H421" s="2">
        <v>1</v>
      </c>
      <c r="I421" s="155">
        <f>F421*'Darba algas UZŅEMŠANĀ_jaunais'!$BD$10</f>
        <v>555887.59820200002</v>
      </c>
      <c r="J421" s="155">
        <f>G421*'Darba algas UZŅEMŠANĀ_jaunais'!$BB$10</f>
        <v>51330.789187500006</v>
      </c>
      <c r="K421" s="155">
        <f>H421*'Darba algas UZŅEMŠANĀ_jaunais'!$BA$10</f>
        <v>10857.971642250001</v>
      </c>
      <c r="M421" s="139">
        <f>F421*'Darba algas UZŅEMŠANĀ_jaunais'!$BA$48</f>
        <v>353191.18000000005</v>
      </c>
      <c r="N421" s="139"/>
    </row>
    <row r="422" spans="1:14" x14ac:dyDescent="0.25">
      <c r="A422" s="2"/>
      <c r="B422" s="2"/>
      <c r="C422" s="2"/>
      <c r="D422" s="188"/>
      <c r="E422" s="2" t="s">
        <v>76</v>
      </c>
      <c r="F422" s="2">
        <v>2</v>
      </c>
      <c r="G422" s="2">
        <v>0</v>
      </c>
      <c r="H422" s="2">
        <v>0</v>
      </c>
      <c r="I422" s="155">
        <f>F422*'Darba algas UZŅEMŠANĀ_jaunais'!$BD$10</f>
        <v>277943.79910100001</v>
      </c>
      <c r="J422" s="155">
        <f>G422*'Darba algas UZŅEMŠANĀ_jaunais'!$BB$10</f>
        <v>0</v>
      </c>
      <c r="K422" s="155">
        <f>H422*'Darba algas UZŅEMŠANĀ_jaunais'!$BA$10</f>
        <v>0</v>
      </c>
      <c r="M422" s="139">
        <f>F422*'Darba algas UZŅEMŠANĀ_jaunais'!$BA$48</f>
        <v>176595.59000000003</v>
      </c>
      <c r="N422" s="139"/>
    </row>
    <row r="423" spans="1:14" x14ac:dyDescent="0.25">
      <c r="A423" s="2"/>
      <c r="B423" s="2"/>
      <c r="D423" s="2"/>
      <c r="E423" s="2" t="s">
        <v>73</v>
      </c>
      <c r="F423" s="2">
        <v>4</v>
      </c>
      <c r="G423" s="2">
        <v>0</v>
      </c>
      <c r="H423" s="2">
        <v>0</v>
      </c>
      <c r="I423" s="155">
        <f>F423*'Darba algas UZŅEMŠANĀ_jaunais'!$BD$11</f>
        <v>369027.45390999998</v>
      </c>
      <c r="J423" s="155">
        <f>ROUND(G423*'Darba algas UZŅEMŠANĀ_jaunais'!$BA$11,0)</f>
        <v>0</v>
      </c>
      <c r="K423" s="155">
        <f>ROUND(H423*'Darba algas UZŅEMŠANĀ_jaunais'!$BB$11,0)</f>
        <v>0</v>
      </c>
      <c r="M423" s="139">
        <f>F423*'Darba algas UZŅEMŠANĀ_jaunais'!$BA$55</f>
        <v>234466.9</v>
      </c>
      <c r="N423" s="139"/>
    </row>
    <row r="424" spans="1:14" ht="12" thickBot="1" x14ac:dyDescent="0.3">
      <c r="A424" s="2"/>
      <c r="B424" s="2"/>
      <c r="D424" s="176"/>
      <c r="E424" s="176" t="s">
        <v>77</v>
      </c>
      <c r="F424" s="176">
        <v>0</v>
      </c>
      <c r="G424" s="176">
        <v>0</v>
      </c>
      <c r="H424" s="176">
        <v>0</v>
      </c>
      <c r="I424" s="155">
        <f>ROUND(F424*'Darba algas UZŅEMŠANĀ_jaunais'!$BE$10,0)</f>
        <v>0</v>
      </c>
      <c r="J424" s="155">
        <f>G424*'Darba algas UZŅEMŠANĀ_jaunais'!$BB$10</f>
        <v>0</v>
      </c>
      <c r="K424" s="155">
        <f>H424*'Darba algas UZŅEMŠANĀ_jaunais'!$BA$10</f>
        <v>0</v>
      </c>
      <c r="M424" s="139">
        <f>F424*'Darba algas UZŅEMŠANĀ_jaunais'!$BA$48</f>
        <v>0</v>
      </c>
      <c r="N424" s="139"/>
    </row>
    <row r="425" spans="1:14" ht="12" thickBot="1" x14ac:dyDescent="0.3">
      <c r="A425" s="2"/>
      <c r="B425" s="2"/>
      <c r="D425" s="173" t="s">
        <v>179</v>
      </c>
      <c r="E425" s="174">
        <f>SUM(F425:H425)</f>
        <v>3018971.3658057512</v>
      </c>
      <c r="F425" s="175">
        <f>I408</f>
        <v>2757950.3888465008</v>
      </c>
      <c r="G425" s="175">
        <f>J408</f>
        <v>215447.49506250001</v>
      </c>
      <c r="H425" s="175">
        <f>K408</f>
        <v>45573.481896750003</v>
      </c>
      <c r="M425" s="139"/>
      <c r="N425" s="139"/>
    </row>
    <row r="426" spans="1:14" x14ac:dyDescent="0.25">
      <c r="A426" s="184" t="s">
        <v>91</v>
      </c>
      <c r="B426" s="5" t="s">
        <v>54</v>
      </c>
      <c r="C426" s="5" t="s">
        <v>7</v>
      </c>
      <c r="D426" s="5" t="s">
        <v>18</v>
      </c>
      <c r="E426" s="169" t="s">
        <v>80</v>
      </c>
      <c r="F426" s="5">
        <f>SUM(F427:F436,F438)</f>
        <v>4</v>
      </c>
      <c r="G426" s="5">
        <f>SUM(G427:G436,G438)</f>
        <v>1</v>
      </c>
      <c r="H426" s="5">
        <f>SUM(H427:H436,H438)</f>
        <v>1</v>
      </c>
      <c r="I426" s="170">
        <f>SUM(I427:I442)</f>
        <v>1669030.7233795938</v>
      </c>
      <c r="J426" s="170">
        <f t="shared" ref="J426:K426" si="23">SUM(J427:J442)</f>
        <v>133389.14212500001</v>
      </c>
      <c r="K426" s="170">
        <f t="shared" si="23"/>
        <v>28215.726769500005</v>
      </c>
      <c r="L426" s="153">
        <f>SUM(I426:K426)</f>
        <v>1830635.5922740938</v>
      </c>
      <c r="M426" s="139">
        <f>SUM(M427:M442)</f>
        <v>1056326.1165625001</v>
      </c>
      <c r="N426" s="139">
        <f>(F426-1)*'Darba algas UZŅEMŠANĀ_jaunais'!BE15</f>
        <v>41570.639999999999</v>
      </c>
    </row>
    <row r="427" spans="1:14" x14ac:dyDescent="0.25">
      <c r="A427" s="172"/>
      <c r="B427" s="2"/>
      <c r="C427" s="2" t="s">
        <v>9</v>
      </c>
      <c r="D427" s="2" t="s">
        <v>10</v>
      </c>
      <c r="E427" s="2" t="s">
        <v>64</v>
      </c>
      <c r="F427" s="2">
        <v>1</v>
      </c>
      <c r="G427" s="2">
        <v>0</v>
      </c>
      <c r="H427" s="2">
        <v>0</v>
      </c>
      <c r="I427" s="155">
        <f>F427*'Darba algas UZŅEMŠANĀ_jaunais'!$BD$8</f>
        <v>236019.93968050004</v>
      </c>
      <c r="J427" s="155">
        <f>G427*'Darba algas UZŅEMŠANĀ_jaunais'!$BB$8</f>
        <v>0</v>
      </c>
      <c r="K427" s="155">
        <f>H427*'Darba algas UZŅEMŠANĀ_jaunais'!$BA$8</f>
        <v>0</v>
      </c>
      <c r="M427" s="139">
        <f>F427*'Darba algas UZŅEMŠANĀ_jaunais'!$BA$41</f>
        <v>141154.49500000002</v>
      </c>
      <c r="N427" s="139"/>
    </row>
    <row r="428" spans="1:14" x14ac:dyDescent="0.25">
      <c r="A428" s="172"/>
      <c r="B428" s="2"/>
      <c r="C428" s="2" t="s">
        <v>11</v>
      </c>
      <c r="D428" s="2" t="s">
        <v>24</v>
      </c>
      <c r="E428" s="2" t="s">
        <v>82</v>
      </c>
      <c r="F428" s="2">
        <v>0</v>
      </c>
      <c r="G428" s="2">
        <v>0</v>
      </c>
      <c r="H428" s="2">
        <v>0</v>
      </c>
      <c r="I428" s="155">
        <f>F428*'Darba algas UZŅEMŠANĀ_jaunais'!$BD$8</f>
        <v>0</v>
      </c>
      <c r="J428" s="155">
        <f>G428*'Darba algas UZŅEMŠANĀ_jaunais'!$BB$8</f>
        <v>0</v>
      </c>
      <c r="K428" s="155">
        <f>H428*'Darba algas UZŅEMŠANĀ_jaunais'!$BA$8</f>
        <v>0</v>
      </c>
      <c r="M428" s="139">
        <f>F428*'Darba algas UZŅEMŠANĀ_jaunais'!$BA$41</f>
        <v>0</v>
      </c>
      <c r="N428" s="139"/>
    </row>
    <row r="429" spans="1:14" x14ac:dyDescent="0.25">
      <c r="A429" s="172"/>
      <c r="B429" s="2"/>
      <c r="C429" s="2" t="s">
        <v>21</v>
      </c>
      <c r="D429" s="2" t="s">
        <v>21</v>
      </c>
      <c r="E429" s="2" t="s">
        <v>65</v>
      </c>
      <c r="F429" s="2">
        <v>1</v>
      </c>
      <c r="G429" s="2">
        <v>0</v>
      </c>
      <c r="H429" s="2">
        <v>0</v>
      </c>
      <c r="I429" s="155">
        <f>F429*'Darba algas UZŅEMŠANĀ_jaunais'!$BD$8</f>
        <v>236019.93968050004</v>
      </c>
      <c r="J429" s="155">
        <f>G429*'Darba algas UZŅEMŠANĀ_jaunais'!$BB$8</f>
        <v>0</v>
      </c>
      <c r="K429" s="155">
        <f>H429*'Darba algas UZŅEMŠANĀ_jaunais'!$BA$8</f>
        <v>0</v>
      </c>
      <c r="M429" s="139">
        <f>F429*'Darba algas UZŅEMŠANĀ_jaunais'!$BA$41</f>
        <v>141154.49500000002</v>
      </c>
      <c r="N429" s="139"/>
    </row>
    <row r="430" spans="1:14" x14ac:dyDescent="0.25">
      <c r="A430" s="2"/>
      <c r="B430" s="2"/>
      <c r="C430" s="2" t="s">
        <v>12</v>
      </c>
      <c r="D430" s="2"/>
      <c r="E430" s="2" t="s">
        <v>83</v>
      </c>
      <c r="F430" s="2">
        <v>0</v>
      </c>
      <c r="G430" s="2">
        <v>0</v>
      </c>
      <c r="H430" s="2">
        <v>0</v>
      </c>
      <c r="I430" s="155">
        <f>F430*'Darba algas UZŅEMŠANĀ_jaunais'!$BD$8</f>
        <v>0</v>
      </c>
      <c r="J430" s="155">
        <f>G430*'Darba algas UZŅEMŠANĀ_jaunais'!$BB$8</f>
        <v>0</v>
      </c>
      <c r="K430" s="155">
        <f>H430*'Darba algas UZŅEMŠANĀ_jaunais'!$BA$8</f>
        <v>0</v>
      </c>
      <c r="M430" s="139">
        <f>F430*'Darba algas UZŅEMŠANĀ_jaunais'!$BA$41</f>
        <v>0</v>
      </c>
      <c r="N430" s="139"/>
    </row>
    <row r="431" spans="1:14" x14ac:dyDescent="0.25">
      <c r="A431" s="2"/>
      <c r="B431" s="2"/>
      <c r="C431" s="2" t="s">
        <v>13</v>
      </c>
      <c r="D431" s="2"/>
      <c r="E431" s="2" t="s">
        <v>66</v>
      </c>
      <c r="F431" s="2">
        <v>0</v>
      </c>
      <c r="G431" s="2">
        <v>0</v>
      </c>
      <c r="H431" s="2">
        <v>0</v>
      </c>
      <c r="I431" s="155">
        <f>F431*'Darba algas UZŅEMŠANĀ_jaunais'!$BD$8</f>
        <v>0</v>
      </c>
      <c r="J431" s="155">
        <f>G431*'Darba algas UZŅEMŠANĀ_jaunais'!$BB$8</f>
        <v>0</v>
      </c>
      <c r="K431" s="155">
        <f>H431*'Darba algas UZŅEMŠANĀ_jaunais'!$BA$8</f>
        <v>0</v>
      </c>
      <c r="M431" s="139">
        <f>F431*'Darba algas UZŅEMŠANĀ_jaunais'!$BA$41</f>
        <v>0</v>
      </c>
      <c r="N431" s="139"/>
    </row>
    <row r="432" spans="1:14" x14ac:dyDescent="0.25">
      <c r="A432" s="2"/>
      <c r="B432" s="2"/>
      <c r="C432" s="2"/>
      <c r="D432" s="2"/>
      <c r="E432" s="2" t="s">
        <v>67</v>
      </c>
      <c r="F432" s="2">
        <v>0</v>
      </c>
      <c r="G432" s="2">
        <v>0</v>
      </c>
      <c r="H432" s="2">
        <v>0</v>
      </c>
      <c r="I432" s="155">
        <f>F432*'Darba algas UZŅEMŠANĀ_jaunais'!$BD$8</f>
        <v>0</v>
      </c>
      <c r="J432" s="155">
        <f>G432*'Darba algas UZŅEMŠANĀ_jaunais'!$BB$8</f>
        <v>0</v>
      </c>
      <c r="K432" s="155">
        <f>H432*'Darba algas UZŅEMŠANĀ_jaunais'!$BA$8</f>
        <v>0</v>
      </c>
      <c r="M432" s="139">
        <f>F432*'Darba algas UZŅEMŠANĀ_jaunais'!$BA$41</f>
        <v>0</v>
      </c>
      <c r="N432" s="139"/>
    </row>
    <row r="433" spans="1:14" x14ac:dyDescent="0.25">
      <c r="A433" s="2"/>
      <c r="B433" s="2"/>
      <c r="C433" s="2"/>
      <c r="D433" s="2"/>
      <c r="E433" s="2" t="s">
        <v>74</v>
      </c>
      <c r="F433" s="2">
        <v>1</v>
      </c>
      <c r="G433" s="2">
        <v>0</v>
      </c>
      <c r="H433" s="2">
        <v>0</v>
      </c>
      <c r="I433" s="155">
        <f>F433*'Darba algas UZŅEMŠANĀ_jaunais'!$BD$8</f>
        <v>236019.93968050004</v>
      </c>
      <c r="J433" s="155">
        <f>G433*'Darba algas UZŅEMŠANĀ_jaunais'!$BB$8</f>
        <v>0</v>
      </c>
      <c r="K433" s="155">
        <f>H433*'Darba algas UZŅEMŠANĀ_jaunais'!$BA$8</f>
        <v>0</v>
      </c>
      <c r="M433" s="139">
        <f>F433*'Darba algas UZŅEMŠANĀ_jaunais'!$BA$41</f>
        <v>141154.49500000002</v>
      </c>
      <c r="N433" s="139"/>
    </row>
    <row r="434" spans="1:14" x14ac:dyDescent="0.25">
      <c r="A434" s="2"/>
      <c r="B434" s="2"/>
      <c r="C434" s="2"/>
      <c r="D434" s="2"/>
      <c r="E434" s="2" t="s">
        <v>75</v>
      </c>
      <c r="F434" s="2">
        <v>0</v>
      </c>
      <c r="G434" s="2">
        <v>0</v>
      </c>
      <c r="H434" s="2">
        <v>0</v>
      </c>
      <c r="I434" s="155">
        <f>F434*'Darba algas UZŅEMŠANĀ_jaunais'!$BD$8</f>
        <v>0</v>
      </c>
      <c r="J434" s="155">
        <f>G434*'Darba algas UZŅEMŠANĀ_jaunais'!$BB$8</f>
        <v>0</v>
      </c>
      <c r="K434" s="155">
        <f>H434*'Darba algas UZŅEMŠANĀ_jaunais'!$BA$8</f>
        <v>0</v>
      </c>
      <c r="M434" s="139">
        <f>F434*'Darba algas UZŅEMŠANĀ_jaunais'!$BA$41</f>
        <v>0</v>
      </c>
      <c r="N434" s="139"/>
    </row>
    <row r="435" spans="1:14" x14ac:dyDescent="0.25">
      <c r="A435" s="2"/>
      <c r="B435" s="2"/>
      <c r="C435" s="2"/>
      <c r="D435" s="2"/>
      <c r="E435" s="2" t="s">
        <v>69</v>
      </c>
      <c r="F435" s="2">
        <v>0</v>
      </c>
      <c r="G435" s="2">
        <v>1</v>
      </c>
      <c r="H435" s="2">
        <v>1</v>
      </c>
      <c r="I435" s="155">
        <f>F435*'Darba algas UZŅEMŠANĀ_jaunais'!$BD$8</f>
        <v>0</v>
      </c>
      <c r="J435" s="155">
        <f>G435*'Darba algas UZŅEMŠANĀ_jaunais'!$BB$8</f>
        <v>82058.352937500007</v>
      </c>
      <c r="K435" s="155">
        <f>H435*'Darba algas UZŅEMŠANĀ_jaunais'!$BA$8</f>
        <v>17357.755127250002</v>
      </c>
      <c r="M435" s="139">
        <f>F435*'Darba algas UZŅEMŠANĀ_jaunais'!$BA$41</f>
        <v>0</v>
      </c>
      <c r="N435" s="139"/>
    </row>
    <row r="436" spans="1:14" x14ac:dyDescent="0.25">
      <c r="A436" s="2"/>
      <c r="B436" s="2"/>
      <c r="C436" s="2"/>
      <c r="D436" s="2"/>
      <c r="E436" s="2" t="s">
        <v>184</v>
      </c>
      <c r="F436" s="197">
        <v>1</v>
      </c>
      <c r="G436" s="2">
        <v>0</v>
      </c>
      <c r="H436" s="2">
        <v>0</v>
      </c>
      <c r="I436" s="155">
        <f>F436*'Darba algas UZŅEMŠANĀ_jaunais'!$BD$9</f>
        <v>128312.71570359374</v>
      </c>
      <c r="J436" s="155">
        <f>G436*'Darba algas UZŅEMŠANĀ_jaunais'!$BB$8</f>
        <v>0</v>
      </c>
      <c r="K436" s="155">
        <f>H436*'Darba algas UZŅEMŠANĀ_jaunais'!$BA$8</f>
        <v>0</v>
      </c>
      <c r="M436" s="139">
        <f>F436*'Darba algas UZŅEMŠANĀ_jaunais'!$BA$42</f>
        <v>103821.27656249999</v>
      </c>
      <c r="N436" s="139"/>
    </row>
    <row r="437" spans="1:14" x14ac:dyDescent="0.25">
      <c r="A437" s="2"/>
      <c r="B437" s="2"/>
      <c r="C437" s="2"/>
      <c r="D437" s="2"/>
      <c r="E437" s="2" t="s">
        <v>70</v>
      </c>
      <c r="F437" s="2">
        <v>1</v>
      </c>
      <c r="G437" s="2">
        <v>0</v>
      </c>
      <c r="H437" s="2">
        <v>0</v>
      </c>
      <c r="I437" s="155">
        <f>F437*'Darba algas UZŅEMŠANĀ_jaunais'!$BD$10</f>
        <v>138971.89955050001</v>
      </c>
      <c r="J437" s="155">
        <f>G437*'Darba algas UZŅEMŠANĀ_jaunais'!$BB$10</f>
        <v>0</v>
      </c>
      <c r="K437" s="155">
        <f>H437*'Darba algas UZŅEMŠANĀ_jaunais'!$BA$10</f>
        <v>0</v>
      </c>
      <c r="M437" s="139">
        <f>F437*'Darba algas UZŅEMŠANĀ_jaunais'!$BA$48</f>
        <v>88297.795000000013</v>
      </c>
      <c r="N437" s="139"/>
    </row>
    <row r="438" spans="1:14" x14ac:dyDescent="0.25">
      <c r="A438" s="2"/>
      <c r="B438" s="2"/>
      <c r="C438" s="2"/>
      <c r="D438" s="2"/>
      <c r="E438" s="2" t="s">
        <v>87</v>
      </c>
      <c r="F438" s="2">
        <v>0</v>
      </c>
      <c r="G438" s="2">
        <v>0</v>
      </c>
      <c r="H438" s="2">
        <v>0</v>
      </c>
      <c r="I438" s="155">
        <f>F438*'Darba algas UZŅEMŠANĀ_jaunais'!$BD$8</f>
        <v>0</v>
      </c>
      <c r="J438" s="155">
        <f>G438*'Darba algas UZŅEMŠANĀ_jaunais'!$BB$8</f>
        <v>0</v>
      </c>
      <c r="K438" s="155">
        <f>H438*'Darba algas UZŅEMŠANĀ_jaunais'!$BA$8</f>
        <v>0</v>
      </c>
      <c r="M438" s="139">
        <f>F438*'Darba algas UZŅEMŠANĀ_jaunais'!$BA$41</f>
        <v>0</v>
      </c>
      <c r="N438" s="139"/>
    </row>
    <row r="439" spans="1:14" x14ac:dyDescent="0.25">
      <c r="A439" s="2"/>
      <c r="B439" s="2"/>
      <c r="C439" s="2"/>
      <c r="D439" s="2"/>
      <c r="E439" s="2" t="s">
        <v>72</v>
      </c>
      <c r="F439" s="2">
        <v>3</v>
      </c>
      <c r="G439" s="2">
        <v>1</v>
      </c>
      <c r="H439" s="2">
        <v>1</v>
      </c>
      <c r="I439" s="155">
        <f>F439*'Darba algas UZŅEMŠANĀ_jaunais'!$BD$10</f>
        <v>416915.69865150005</v>
      </c>
      <c r="J439" s="155">
        <f>G439*'Darba algas UZŅEMŠANĀ_jaunais'!$BB$10</f>
        <v>51330.789187500006</v>
      </c>
      <c r="K439" s="155">
        <f>H439*'Darba algas UZŅEMŠANĀ_jaunais'!$BA$10</f>
        <v>10857.971642250001</v>
      </c>
      <c r="M439" s="139">
        <f>F439*'Darba algas UZŅEMŠANĀ_jaunais'!$BA$48</f>
        <v>264893.38500000001</v>
      </c>
      <c r="N439" s="139"/>
    </row>
    <row r="440" spans="1:14" x14ac:dyDescent="0.25">
      <c r="A440" s="2"/>
      <c r="B440" s="2"/>
      <c r="C440" s="2"/>
      <c r="D440" s="2"/>
      <c r="E440" s="2" t="s">
        <v>76</v>
      </c>
      <c r="F440" s="2">
        <v>0</v>
      </c>
      <c r="G440" s="2">
        <v>0</v>
      </c>
      <c r="H440" s="2">
        <v>0</v>
      </c>
      <c r="I440" s="155">
        <f>F440*'Darba algas UZŅEMŠANĀ_jaunais'!$BD$10</f>
        <v>0</v>
      </c>
      <c r="J440" s="155">
        <f>G440*'Darba algas UZŅEMŠANĀ_jaunais'!$BB$10</f>
        <v>0</v>
      </c>
      <c r="K440" s="155">
        <f>H440*'Darba algas UZŅEMŠANĀ_jaunais'!$BA$10</f>
        <v>0</v>
      </c>
      <c r="M440" s="139">
        <f>F440*'Darba algas UZŅEMŠANĀ_jaunais'!$BA$48</f>
        <v>0</v>
      </c>
      <c r="N440" s="139"/>
    </row>
    <row r="441" spans="1:14" x14ac:dyDescent="0.25">
      <c r="A441" s="2"/>
      <c r="B441" s="2"/>
      <c r="C441" s="2"/>
      <c r="D441" s="2"/>
      <c r="E441" s="2" t="s">
        <v>73</v>
      </c>
      <c r="F441" s="2">
        <v>3</v>
      </c>
      <c r="G441" s="2">
        <v>0</v>
      </c>
      <c r="H441" s="2">
        <v>0</v>
      </c>
      <c r="I441" s="155">
        <f>F441*'Darba algas UZŅEMŠANĀ_jaunais'!$BD$11</f>
        <v>276770.5904325</v>
      </c>
      <c r="J441" s="155">
        <f>ROUND(G441*'Darba algas UZŅEMŠANĀ_jaunais'!$BA$11,0)</f>
        <v>0</v>
      </c>
      <c r="K441" s="155">
        <f>ROUND(H441*'Darba algas UZŅEMŠANĀ_jaunais'!$BB$11,0)</f>
        <v>0</v>
      </c>
      <c r="M441" s="139">
        <f>F441*'Darba algas UZŅEMŠANĀ_jaunais'!$BA$55</f>
        <v>175850.17499999999</v>
      </c>
      <c r="N441" s="139"/>
    </row>
    <row r="442" spans="1:14" ht="12" thickBot="1" x14ac:dyDescent="0.3">
      <c r="A442" s="176"/>
      <c r="B442" s="176"/>
      <c r="D442" s="176"/>
      <c r="E442" s="176" t="s">
        <v>77</v>
      </c>
      <c r="F442" s="176">
        <v>0</v>
      </c>
      <c r="G442" s="176">
        <v>0</v>
      </c>
      <c r="H442" s="176">
        <v>0</v>
      </c>
      <c r="I442" s="155">
        <f>ROUND(F442*'Darba algas UZŅEMŠANĀ_jaunais'!$BE$10,0)</f>
        <v>0</v>
      </c>
      <c r="J442" s="155">
        <f>G442*'Darba algas UZŅEMŠANĀ_jaunais'!$BB$10</f>
        <v>0</v>
      </c>
      <c r="K442" s="155">
        <f>H442*'Darba algas UZŅEMŠANĀ_jaunais'!$BA$10</f>
        <v>0</v>
      </c>
      <c r="M442" s="139">
        <f>F442*'Darba algas UZŅEMŠANĀ_jaunais'!$BA$48</f>
        <v>0</v>
      </c>
      <c r="N442" s="139"/>
    </row>
    <row r="443" spans="1:14" ht="12" thickBot="1" x14ac:dyDescent="0.3">
      <c r="A443" s="2"/>
      <c r="B443" s="2"/>
      <c r="D443" s="173" t="s">
        <v>179</v>
      </c>
      <c r="E443" s="174">
        <f>SUM(F443:H443)</f>
        <v>1830635.5922740938</v>
      </c>
      <c r="F443" s="175">
        <f>I426</f>
        <v>1669030.7233795938</v>
      </c>
      <c r="G443" s="175">
        <f>J426</f>
        <v>133389.14212500001</v>
      </c>
      <c r="H443" s="175">
        <f>K426</f>
        <v>28215.726769500005</v>
      </c>
      <c r="M443" s="139"/>
      <c r="N443" s="139"/>
    </row>
    <row r="444" spans="1:14" x14ac:dyDescent="0.25">
      <c r="A444" s="184" t="s">
        <v>91</v>
      </c>
      <c r="B444" s="5" t="s">
        <v>55</v>
      </c>
      <c r="C444" s="5" t="s">
        <v>7</v>
      </c>
      <c r="D444" s="187" t="s">
        <v>18</v>
      </c>
      <c r="E444" s="169" t="s">
        <v>80</v>
      </c>
      <c r="F444" s="5">
        <f>SUM(F445:F454,F456)</f>
        <v>5</v>
      </c>
      <c r="G444" s="5">
        <f>SUM(G445:G454,G456)</f>
        <v>3</v>
      </c>
      <c r="H444" s="5">
        <f>SUM(H445:H454,H456)</f>
        <v>3</v>
      </c>
      <c r="I444" s="170">
        <f>SUM(I445:I460)</f>
        <v>2182994.462161094</v>
      </c>
      <c r="J444" s="170">
        <f t="shared" ref="J444:K444" si="24">SUM(J445:J460)</f>
        <v>297505.84800000006</v>
      </c>
      <c r="K444" s="170">
        <f t="shared" si="24"/>
        <v>62931.237024000009</v>
      </c>
      <c r="L444" s="153">
        <f>SUM(I444:K444)</f>
        <v>2543431.5471850941</v>
      </c>
      <c r="M444" s="139">
        <f>SUM(M445:M460)</f>
        <v>1374076.2015625001</v>
      </c>
      <c r="N444" s="139">
        <f>(F444-1)*'Darba algas UZŅEMŠANĀ_jaunais'!BE15</f>
        <v>55427.519999999997</v>
      </c>
    </row>
    <row r="445" spans="1:14" x14ac:dyDescent="0.25">
      <c r="A445" s="2"/>
      <c r="B445" s="2"/>
      <c r="C445" s="2" t="s">
        <v>9</v>
      </c>
      <c r="D445" s="2" t="s">
        <v>10</v>
      </c>
      <c r="E445" s="2" t="s">
        <v>64</v>
      </c>
      <c r="F445" s="2">
        <v>1</v>
      </c>
      <c r="G445" s="2">
        <v>1</v>
      </c>
      <c r="H445" s="2">
        <v>1</v>
      </c>
      <c r="I445" s="155">
        <f>F445*'Darba algas UZŅEMŠANĀ_jaunais'!$BD$8</f>
        <v>236019.93968050004</v>
      </c>
      <c r="J445" s="155">
        <f>G445*'Darba algas UZŅEMŠANĀ_jaunais'!$BB$8</f>
        <v>82058.352937500007</v>
      </c>
      <c r="K445" s="155">
        <f>H445*'Darba algas UZŅEMŠANĀ_jaunais'!$BA$8</f>
        <v>17357.755127250002</v>
      </c>
      <c r="M445" s="139">
        <f>F445*'Darba algas UZŅEMŠANĀ_jaunais'!$BA$41</f>
        <v>141154.49500000002</v>
      </c>
      <c r="N445" s="139"/>
    </row>
    <row r="446" spans="1:14" x14ac:dyDescent="0.25">
      <c r="A446" s="2"/>
      <c r="B446" s="2"/>
      <c r="C446" s="2" t="s">
        <v>11</v>
      </c>
      <c r="D446" s="188" t="s">
        <v>24</v>
      </c>
      <c r="E446" s="2" t="s">
        <v>82</v>
      </c>
      <c r="F446" s="2">
        <v>0</v>
      </c>
      <c r="G446" s="2">
        <v>0</v>
      </c>
      <c r="H446" s="2">
        <v>0</v>
      </c>
      <c r="I446" s="155">
        <f>F446*'Darba algas UZŅEMŠANĀ_jaunais'!$BD$8</f>
        <v>0</v>
      </c>
      <c r="J446" s="155">
        <f>G446*'Darba algas UZŅEMŠANĀ_jaunais'!$BB$8</f>
        <v>0</v>
      </c>
      <c r="K446" s="155">
        <f>H446*'Darba algas UZŅEMŠANĀ_jaunais'!$BA$8</f>
        <v>0</v>
      </c>
      <c r="M446" s="139">
        <f>F446*'Darba algas UZŅEMŠANĀ_jaunais'!$BA$41</f>
        <v>0</v>
      </c>
      <c r="N446" s="139"/>
    </row>
    <row r="447" spans="1:14" x14ac:dyDescent="0.25">
      <c r="A447" s="2"/>
      <c r="B447" s="2"/>
      <c r="C447" s="2" t="s">
        <v>21</v>
      </c>
      <c r="D447" s="2" t="s">
        <v>33</v>
      </c>
      <c r="E447" s="2" t="s">
        <v>65</v>
      </c>
      <c r="F447" s="2">
        <v>1</v>
      </c>
      <c r="G447" s="2">
        <v>0</v>
      </c>
      <c r="H447" s="2">
        <v>0</v>
      </c>
      <c r="I447" s="155">
        <f>F447*'Darba algas UZŅEMŠANĀ_jaunais'!$BD$8</f>
        <v>236019.93968050004</v>
      </c>
      <c r="J447" s="155">
        <f>G447*'Darba algas UZŅEMŠANĀ_jaunais'!$BB$8</f>
        <v>0</v>
      </c>
      <c r="K447" s="155">
        <f>H447*'Darba algas UZŅEMŠANĀ_jaunais'!$BA$8</f>
        <v>0</v>
      </c>
      <c r="M447" s="139">
        <f>F447*'Darba algas UZŅEMŠANĀ_jaunais'!$BA$41</f>
        <v>141154.49500000002</v>
      </c>
      <c r="N447" s="139"/>
    </row>
    <row r="448" spans="1:14" x14ac:dyDescent="0.25">
      <c r="A448" s="2"/>
      <c r="B448" s="2"/>
      <c r="C448" s="2" t="s">
        <v>12</v>
      </c>
      <c r="D448" s="188" t="s">
        <v>25</v>
      </c>
      <c r="E448" s="2" t="s">
        <v>83</v>
      </c>
      <c r="F448" s="2">
        <v>1</v>
      </c>
      <c r="G448" s="2">
        <v>1</v>
      </c>
      <c r="H448" s="2">
        <v>1</v>
      </c>
      <c r="I448" s="155">
        <f>F448*'Darba algas UZŅEMŠANĀ_jaunais'!$BD$8</f>
        <v>236019.93968050004</v>
      </c>
      <c r="J448" s="155">
        <f>G448*'Darba algas UZŅEMŠANĀ_jaunais'!$BB$8</f>
        <v>82058.352937500007</v>
      </c>
      <c r="K448" s="155">
        <f>H448*'Darba algas UZŅEMŠANĀ_jaunais'!$BA$8</f>
        <v>17357.755127250002</v>
      </c>
      <c r="M448" s="139">
        <f>F448*'Darba algas UZŅEMŠANĀ_jaunais'!$BA$41</f>
        <v>141154.49500000002</v>
      </c>
      <c r="N448" s="139"/>
    </row>
    <row r="449" spans="1:14" x14ac:dyDescent="0.25">
      <c r="A449" s="2"/>
      <c r="B449" s="2"/>
      <c r="C449" s="3" t="s">
        <v>26</v>
      </c>
      <c r="D449" s="188" t="s">
        <v>26</v>
      </c>
      <c r="E449" s="2" t="s">
        <v>66</v>
      </c>
      <c r="F449" s="2">
        <v>0</v>
      </c>
      <c r="G449" s="2">
        <v>0</v>
      </c>
      <c r="H449" s="2">
        <v>0</v>
      </c>
      <c r="I449" s="155">
        <f>F449*'Darba algas UZŅEMŠANĀ_jaunais'!$BD$8</f>
        <v>0</v>
      </c>
      <c r="J449" s="155">
        <f>G449*'Darba algas UZŅEMŠANĀ_jaunais'!$BB$8</f>
        <v>0</v>
      </c>
      <c r="K449" s="155">
        <f>H449*'Darba algas UZŅEMŠANĀ_jaunais'!$BA$8</f>
        <v>0</v>
      </c>
      <c r="M449" s="139">
        <f>F449*'Darba algas UZŅEMŠANĀ_jaunais'!$BA$41</f>
        <v>0</v>
      </c>
      <c r="N449" s="139"/>
    </row>
    <row r="450" spans="1:14" x14ac:dyDescent="0.25">
      <c r="A450" s="2"/>
      <c r="B450" s="2"/>
      <c r="C450" s="2" t="s">
        <v>14</v>
      </c>
      <c r="D450" s="188" t="s">
        <v>14</v>
      </c>
      <c r="E450" s="2" t="s">
        <v>67</v>
      </c>
      <c r="F450" s="2">
        <v>0</v>
      </c>
      <c r="G450" s="2">
        <v>0</v>
      </c>
      <c r="H450" s="2">
        <v>0</v>
      </c>
      <c r="I450" s="155">
        <f>F450*'Darba algas UZŅEMŠANĀ_jaunais'!$BD$8</f>
        <v>0</v>
      </c>
      <c r="J450" s="155">
        <f>G450*'Darba algas UZŅEMŠANĀ_jaunais'!$BB$8</f>
        <v>0</v>
      </c>
      <c r="K450" s="155">
        <f>H450*'Darba algas UZŅEMŠANĀ_jaunais'!$BA$8</f>
        <v>0</v>
      </c>
      <c r="M450" s="139">
        <f>F450*'Darba algas UZŅEMŠANĀ_jaunais'!$BA$41</f>
        <v>0</v>
      </c>
      <c r="N450" s="139"/>
    </row>
    <row r="451" spans="1:14" x14ac:dyDescent="0.25">
      <c r="A451" s="2"/>
      <c r="B451" s="2"/>
      <c r="C451" s="2" t="s">
        <v>47</v>
      </c>
      <c r="D451" s="188"/>
      <c r="E451" s="2" t="s">
        <v>74</v>
      </c>
      <c r="F451" s="2">
        <v>1</v>
      </c>
      <c r="G451" s="2">
        <v>0</v>
      </c>
      <c r="H451" s="2">
        <v>0</v>
      </c>
      <c r="I451" s="155">
        <f>F451*'Darba algas UZŅEMŠANĀ_jaunais'!$BD$8</f>
        <v>236019.93968050004</v>
      </c>
      <c r="J451" s="155">
        <f>G451*'Darba algas UZŅEMŠANĀ_jaunais'!$BB$8</f>
        <v>0</v>
      </c>
      <c r="K451" s="155">
        <f>H451*'Darba algas UZŅEMŠANĀ_jaunais'!$BA$8</f>
        <v>0</v>
      </c>
      <c r="M451" s="139">
        <f>F451*'Darba algas UZŅEMŠANĀ_jaunais'!$BA$41</f>
        <v>141154.49500000002</v>
      </c>
      <c r="N451" s="139"/>
    </row>
    <row r="452" spans="1:14" x14ac:dyDescent="0.25">
      <c r="A452" s="2"/>
      <c r="B452" s="2"/>
      <c r="C452" s="2" t="s">
        <v>27</v>
      </c>
      <c r="D452" s="188"/>
      <c r="E452" s="2" t="s">
        <v>75</v>
      </c>
      <c r="F452" s="2">
        <v>0</v>
      </c>
      <c r="G452" s="2">
        <v>0</v>
      </c>
      <c r="H452" s="2">
        <v>0</v>
      </c>
      <c r="I452" s="155">
        <f>F452*'Darba algas UZŅEMŠANĀ_jaunais'!$BD$8</f>
        <v>0</v>
      </c>
      <c r="J452" s="155">
        <f>G452*'Darba algas UZŅEMŠANĀ_jaunais'!$BB$8</f>
        <v>0</v>
      </c>
      <c r="K452" s="155">
        <f>H452*'Darba algas UZŅEMŠANĀ_jaunais'!$BA$8</f>
        <v>0</v>
      </c>
      <c r="M452" s="139">
        <f>F452*'Darba algas UZŅEMŠANĀ_jaunais'!$BA$41</f>
        <v>0</v>
      </c>
      <c r="N452" s="139"/>
    </row>
    <row r="453" spans="1:14" x14ac:dyDescent="0.25">
      <c r="A453" s="2"/>
      <c r="B453" s="2"/>
      <c r="C453" s="2"/>
      <c r="D453" s="188"/>
      <c r="E453" s="2" t="s">
        <v>69</v>
      </c>
      <c r="F453" s="2">
        <v>0</v>
      </c>
      <c r="G453" s="2">
        <v>1</v>
      </c>
      <c r="H453" s="2">
        <v>1</v>
      </c>
      <c r="I453" s="155">
        <f>F453*'Darba algas UZŅEMŠANĀ_jaunais'!$BD$8</f>
        <v>0</v>
      </c>
      <c r="J453" s="155">
        <f>G453*'Darba algas UZŅEMŠANĀ_jaunais'!$BB$8</f>
        <v>82058.352937500007</v>
      </c>
      <c r="K453" s="155">
        <f>H453*'Darba algas UZŅEMŠANĀ_jaunais'!$BA$8</f>
        <v>17357.755127250002</v>
      </c>
      <c r="M453" s="139">
        <f>F453*'Darba algas UZŅEMŠANĀ_jaunais'!$BA$41</f>
        <v>0</v>
      </c>
      <c r="N453" s="139"/>
    </row>
    <row r="454" spans="1:14" x14ac:dyDescent="0.25">
      <c r="A454" s="2"/>
      <c r="B454" s="2"/>
      <c r="C454" s="2"/>
      <c r="D454" s="188"/>
      <c r="E454" s="2" t="s">
        <v>184</v>
      </c>
      <c r="F454" s="197">
        <v>1</v>
      </c>
      <c r="G454" s="2">
        <v>0</v>
      </c>
      <c r="H454" s="2">
        <v>0</v>
      </c>
      <c r="I454" s="155">
        <f>F454*'Darba algas UZŅEMŠANĀ_jaunais'!$BD$9</f>
        <v>128312.71570359374</v>
      </c>
      <c r="J454" s="155">
        <f>G454*'Darba algas UZŅEMŠANĀ_jaunais'!$BB$8</f>
        <v>0</v>
      </c>
      <c r="K454" s="155">
        <f>H454*'Darba algas UZŅEMŠANĀ_jaunais'!$BA$8</f>
        <v>0</v>
      </c>
      <c r="M454" s="139">
        <f>F454*'Darba algas UZŅEMŠANĀ_jaunais'!$BA$42</f>
        <v>103821.27656249999</v>
      </c>
      <c r="N454" s="139"/>
    </row>
    <row r="455" spans="1:14" x14ac:dyDescent="0.25">
      <c r="A455" s="2"/>
      <c r="B455" s="2"/>
      <c r="C455" s="2"/>
      <c r="D455" s="188"/>
      <c r="E455" s="2" t="s">
        <v>70</v>
      </c>
      <c r="F455" s="2">
        <v>1</v>
      </c>
      <c r="G455" s="2">
        <v>0</v>
      </c>
      <c r="H455" s="2">
        <v>0</v>
      </c>
      <c r="I455" s="155">
        <f>F455*'Darba algas UZŅEMŠANĀ_jaunais'!$BD$10</f>
        <v>138971.89955050001</v>
      </c>
      <c r="J455" s="155">
        <f>G455*'Darba algas UZŅEMŠANĀ_jaunais'!$BB$10</f>
        <v>0</v>
      </c>
      <c r="K455" s="155">
        <f>H455*'Darba algas UZŅEMŠANĀ_jaunais'!$BA$10</f>
        <v>0</v>
      </c>
      <c r="M455" s="139">
        <f>F455*'Darba algas UZŅEMŠANĀ_jaunais'!$BA$48</f>
        <v>88297.795000000013</v>
      </c>
      <c r="N455" s="139"/>
    </row>
    <row r="456" spans="1:14" x14ac:dyDescent="0.25">
      <c r="A456" s="2"/>
      <c r="B456" s="2"/>
      <c r="C456" s="2"/>
      <c r="D456" s="188"/>
      <c r="E456" s="2" t="s">
        <v>87</v>
      </c>
      <c r="F456" s="2">
        <v>0</v>
      </c>
      <c r="G456" s="2">
        <v>0</v>
      </c>
      <c r="H456" s="2">
        <v>0</v>
      </c>
      <c r="I456" s="155">
        <f>F456*'Darba algas UZŅEMŠANĀ_jaunais'!$BD$8</f>
        <v>0</v>
      </c>
      <c r="J456" s="155">
        <f>G456*'Darba algas UZŅEMŠANĀ_jaunais'!$BB$8</f>
        <v>0</v>
      </c>
      <c r="K456" s="155">
        <f>H456*'Darba algas UZŅEMŠANĀ_jaunais'!$BA$8</f>
        <v>0</v>
      </c>
      <c r="M456" s="139">
        <f>F456*'Darba algas UZŅEMŠANĀ_jaunais'!$BA$41</f>
        <v>0</v>
      </c>
      <c r="N456" s="139"/>
    </row>
    <row r="457" spans="1:14" x14ac:dyDescent="0.25">
      <c r="A457" s="2"/>
      <c r="B457" s="2"/>
      <c r="C457" s="2"/>
      <c r="D457" s="188"/>
      <c r="E457" s="2" t="s">
        <v>72</v>
      </c>
      <c r="F457" s="2">
        <v>3</v>
      </c>
      <c r="G457" s="2">
        <v>1</v>
      </c>
      <c r="H457" s="2">
        <v>1</v>
      </c>
      <c r="I457" s="155">
        <f>F457*'Darba algas UZŅEMŠANĀ_jaunais'!$BD$10</f>
        <v>416915.69865150005</v>
      </c>
      <c r="J457" s="155">
        <f>G457*'Darba algas UZŅEMŠANĀ_jaunais'!$BB$10</f>
        <v>51330.789187500006</v>
      </c>
      <c r="K457" s="155">
        <f>H457*'Darba algas UZŅEMŠANĀ_jaunais'!$BA$10</f>
        <v>10857.971642250001</v>
      </c>
      <c r="M457" s="139">
        <f>F457*'Darba algas UZŅEMŠANĀ_jaunais'!$BA$48</f>
        <v>264893.38500000001</v>
      </c>
      <c r="N457" s="139"/>
    </row>
    <row r="458" spans="1:14" x14ac:dyDescent="0.25">
      <c r="A458" s="2"/>
      <c r="B458" s="2"/>
      <c r="C458" s="2"/>
      <c r="D458" s="188"/>
      <c r="E458" s="2" t="s">
        <v>76</v>
      </c>
      <c r="F458" s="2">
        <v>2</v>
      </c>
      <c r="G458" s="2">
        <v>0</v>
      </c>
      <c r="H458" s="2">
        <v>0</v>
      </c>
      <c r="I458" s="155">
        <f>F458*'Darba algas UZŅEMŠANĀ_jaunais'!$BD$10</f>
        <v>277943.79910100001</v>
      </c>
      <c r="J458" s="155">
        <f>G458*'Darba algas UZŅEMŠANĀ_jaunais'!$BB$10</f>
        <v>0</v>
      </c>
      <c r="K458" s="155">
        <f>H458*'Darba algas UZŅEMŠANĀ_jaunais'!$BA$10</f>
        <v>0</v>
      </c>
      <c r="M458" s="139">
        <f>F458*'Darba algas UZŅEMŠANĀ_jaunais'!$BA$48</f>
        <v>176595.59000000003</v>
      </c>
      <c r="N458" s="139"/>
    </row>
    <row r="459" spans="1:14" x14ac:dyDescent="0.25">
      <c r="A459" s="2"/>
      <c r="B459" s="2"/>
      <c r="C459" s="2"/>
      <c r="D459" s="188"/>
      <c r="E459" s="2" t="s">
        <v>73</v>
      </c>
      <c r="F459" s="2">
        <v>3</v>
      </c>
      <c r="G459" s="2">
        <v>0</v>
      </c>
      <c r="H459" s="2">
        <v>0</v>
      </c>
      <c r="I459" s="155">
        <f>F459*'Darba algas UZŅEMŠANĀ_jaunais'!$BD$11</f>
        <v>276770.5904325</v>
      </c>
      <c r="J459" s="155">
        <f>ROUND(G459*'Darba algas UZŅEMŠANĀ_jaunais'!$BA$11,0)</f>
        <v>0</v>
      </c>
      <c r="K459" s="155">
        <f>ROUND(H459*'Darba algas UZŅEMŠANĀ_jaunais'!$BB$11,0)</f>
        <v>0</v>
      </c>
      <c r="M459" s="139">
        <f>F459*'Darba algas UZŅEMŠANĀ_jaunais'!$BA$55</f>
        <v>175850.17499999999</v>
      </c>
      <c r="N459" s="139"/>
    </row>
    <row r="460" spans="1:14" ht="12" thickBot="1" x14ac:dyDescent="0.3">
      <c r="A460" s="2"/>
      <c r="B460" s="2"/>
      <c r="C460" s="2"/>
      <c r="D460" s="188"/>
      <c r="E460" s="176" t="s">
        <v>77</v>
      </c>
      <c r="F460" s="176">
        <v>0</v>
      </c>
      <c r="G460" s="176">
        <v>0</v>
      </c>
      <c r="H460" s="176">
        <v>0</v>
      </c>
      <c r="I460" s="155">
        <f>ROUND(F460*'Darba algas UZŅEMŠANĀ_jaunais'!$BE$10,0)</f>
        <v>0</v>
      </c>
      <c r="J460" s="155">
        <f>G460*'Darba algas UZŅEMŠANĀ_jaunais'!$BB$10</f>
        <v>0</v>
      </c>
      <c r="K460" s="155">
        <f>H460*'Darba algas UZŅEMŠANĀ_jaunais'!$BA$10</f>
        <v>0</v>
      </c>
      <c r="M460" s="139">
        <f>F460*'Darba algas UZŅEMŠANĀ_jaunais'!$BA$48</f>
        <v>0</v>
      </c>
      <c r="N460" s="139"/>
    </row>
    <row r="461" spans="1:14" ht="12" thickBot="1" x14ac:dyDescent="0.3">
      <c r="A461" s="2"/>
      <c r="B461" s="2"/>
      <c r="D461" s="173" t="s">
        <v>179</v>
      </c>
      <c r="E461" s="174">
        <f>SUM(F461:H461)</f>
        <v>2543431.5471850941</v>
      </c>
      <c r="F461" s="175">
        <f>I444</f>
        <v>2182994.462161094</v>
      </c>
      <c r="G461" s="175">
        <f>J444</f>
        <v>297505.84800000006</v>
      </c>
      <c r="H461" s="175">
        <f>K444</f>
        <v>62931.237024000009</v>
      </c>
      <c r="M461" s="139"/>
      <c r="N461" s="139"/>
    </row>
    <row r="462" spans="1:14" ht="12" thickBot="1" x14ac:dyDescent="0.3">
      <c r="A462" s="385" t="s">
        <v>56</v>
      </c>
      <c r="B462" s="385"/>
      <c r="C462" s="385"/>
      <c r="D462" s="385"/>
      <c r="E462" s="198"/>
      <c r="F462" s="198">
        <v>0</v>
      </c>
      <c r="G462" s="198">
        <v>0</v>
      </c>
      <c r="H462" s="198">
        <v>0</v>
      </c>
      <c r="M462" s="139"/>
      <c r="N462" s="139"/>
    </row>
    <row r="463" spans="1:14" x14ac:dyDescent="0.25">
      <c r="A463" s="184" t="s">
        <v>92</v>
      </c>
      <c r="B463" s="5" t="s">
        <v>57</v>
      </c>
      <c r="C463" s="5" t="s">
        <v>7</v>
      </c>
      <c r="D463" s="187" t="s">
        <v>18</v>
      </c>
      <c r="E463" s="169" t="s">
        <v>80</v>
      </c>
      <c r="F463" s="5">
        <f>SUM(F464:F473,F475)</f>
        <v>8</v>
      </c>
      <c r="G463" s="5">
        <f>SUM(G464:G473,G475)</f>
        <v>5</v>
      </c>
      <c r="H463" s="5">
        <f>SUM(H464:H473,H475)</f>
        <v>5</v>
      </c>
      <c r="I463" s="170">
        <f>SUM(I464:I479)</f>
        <v>3692447.7942635003</v>
      </c>
      <c r="J463" s="170">
        <f t="shared" ref="J463:K463" si="25">SUM(J464:J479)</f>
        <v>461622.55387500004</v>
      </c>
      <c r="K463" s="170">
        <f t="shared" si="25"/>
        <v>97646.747278500014</v>
      </c>
      <c r="L463" s="153">
        <f>SUM(I463:K463)</f>
        <v>4251717.0954170004</v>
      </c>
      <c r="M463" s="139">
        <f>SUM(M464:M479)</f>
        <v>2275616.4650000003</v>
      </c>
      <c r="N463" s="139">
        <f>F463*'Darba algas UZŅEMŠANĀ_jaunais'!BE15</f>
        <v>110855.03999999999</v>
      </c>
    </row>
    <row r="464" spans="1:14" x14ac:dyDescent="0.25">
      <c r="A464" s="2"/>
      <c r="B464" s="2"/>
      <c r="C464" s="2" t="s">
        <v>11</v>
      </c>
      <c r="D464" s="2" t="s">
        <v>10</v>
      </c>
      <c r="E464" s="2" t="s">
        <v>64</v>
      </c>
      <c r="F464" s="2">
        <v>1</v>
      </c>
      <c r="G464" s="2">
        <v>2</v>
      </c>
      <c r="H464" s="2">
        <v>2</v>
      </c>
      <c r="I464" s="155">
        <f>F464*'Darba algas UZŅEMŠANĀ_jaunais'!$BD$8</f>
        <v>236019.93968050004</v>
      </c>
      <c r="J464" s="155">
        <f>G464*'Darba algas UZŅEMŠANĀ_jaunais'!$BB$8</f>
        <v>164116.70587500001</v>
      </c>
      <c r="K464" s="155">
        <f>H464*'Darba algas UZŅEMŠANĀ_jaunais'!$BA$8</f>
        <v>34715.510254500005</v>
      </c>
      <c r="M464" s="139">
        <f>F464*'Darba algas UZŅEMŠANĀ_jaunais'!$BA$41</f>
        <v>141154.49500000002</v>
      </c>
      <c r="N464" s="139"/>
    </row>
    <row r="465" spans="1:14" x14ac:dyDescent="0.25">
      <c r="A465" s="2"/>
      <c r="B465" s="2"/>
      <c r="C465" s="2" t="s">
        <v>21</v>
      </c>
      <c r="D465" s="2" t="s">
        <v>24</v>
      </c>
      <c r="E465" s="2" t="s">
        <v>82</v>
      </c>
      <c r="F465" s="2">
        <v>0</v>
      </c>
      <c r="G465" s="2">
        <v>0</v>
      </c>
      <c r="H465" s="2">
        <v>0</v>
      </c>
      <c r="I465" s="155">
        <f>F465*'Darba algas UZŅEMŠANĀ_jaunais'!$BD$8</f>
        <v>0</v>
      </c>
      <c r="J465" s="155">
        <f>G465*'Darba algas UZŅEMŠANĀ_jaunais'!$BB$8</f>
        <v>0</v>
      </c>
      <c r="K465" s="155">
        <f>H465*'Darba algas UZŅEMŠANĀ_jaunais'!$BA$8</f>
        <v>0</v>
      </c>
      <c r="M465" s="139">
        <f>F465*'Darba algas UZŅEMŠANĀ_jaunais'!$BA$41</f>
        <v>0</v>
      </c>
      <c r="N465" s="139"/>
    </row>
    <row r="466" spans="1:14" x14ac:dyDescent="0.25">
      <c r="A466" s="2"/>
      <c r="B466" s="2"/>
      <c r="C466" s="2" t="s">
        <v>12</v>
      </c>
      <c r="D466" s="2" t="s">
        <v>21</v>
      </c>
      <c r="E466" s="2" t="s">
        <v>65</v>
      </c>
      <c r="F466" s="2">
        <v>1</v>
      </c>
      <c r="G466" s="2">
        <v>1</v>
      </c>
      <c r="H466" s="2">
        <v>1</v>
      </c>
      <c r="I466" s="155">
        <f>F466*'Darba algas UZŅEMŠANĀ_jaunais'!$BD$8</f>
        <v>236019.93968050004</v>
      </c>
      <c r="J466" s="155">
        <f>G466*'Darba algas UZŅEMŠANĀ_jaunais'!$BB$8</f>
        <v>82058.352937500007</v>
      </c>
      <c r="K466" s="155">
        <f>H466*'Darba algas UZŅEMŠANĀ_jaunais'!$BA$8</f>
        <v>17357.755127250002</v>
      </c>
      <c r="M466" s="139">
        <f>F466*'Darba algas UZŅEMŠANĀ_jaunais'!$BA$41</f>
        <v>141154.49500000002</v>
      </c>
      <c r="N466" s="139"/>
    </row>
    <row r="467" spans="1:14" x14ac:dyDescent="0.25">
      <c r="A467" s="2"/>
      <c r="B467" s="2"/>
      <c r="C467" s="3" t="s">
        <v>26</v>
      </c>
      <c r="D467" s="2" t="s">
        <v>25</v>
      </c>
      <c r="E467" s="2" t="s">
        <v>83</v>
      </c>
      <c r="F467" s="2">
        <v>1</v>
      </c>
      <c r="G467" s="2">
        <v>1</v>
      </c>
      <c r="H467" s="2">
        <v>1</v>
      </c>
      <c r="I467" s="155">
        <f>F467*'Darba algas UZŅEMŠANĀ_jaunais'!$BD$8</f>
        <v>236019.93968050004</v>
      </c>
      <c r="J467" s="155">
        <f>G467*'Darba algas UZŅEMŠANĀ_jaunais'!$BB$8</f>
        <v>82058.352937500007</v>
      </c>
      <c r="K467" s="155">
        <f>H467*'Darba algas UZŅEMŠANĀ_jaunais'!$BA$8</f>
        <v>17357.755127250002</v>
      </c>
      <c r="M467" s="139">
        <f>F467*'Darba algas UZŅEMŠANĀ_jaunais'!$BA$41</f>
        <v>141154.49500000002</v>
      </c>
      <c r="N467" s="139"/>
    </row>
    <row r="468" spans="1:14" x14ac:dyDescent="0.25">
      <c r="A468" s="2"/>
      <c r="B468" s="2"/>
      <c r="C468" s="2" t="s">
        <v>14</v>
      </c>
      <c r="D468" s="2" t="s">
        <v>26</v>
      </c>
      <c r="E468" s="2" t="s">
        <v>66</v>
      </c>
      <c r="F468" s="2">
        <v>1</v>
      </c>
      <c r="G468" s="2">
        <v>0</v>
      </c>
      <c r="H468" s="2">
        <v>0</v>
      </c>
      <c r="I468" s="155">
        <f>F468*'Darba algas UZŅEMŠANĀ_jaunais'!$BD$8</f>
        <v>236019.93968050004</v>
      </c>
      <c r="J468" s="155">
        <f>G468*'Darba algas UZŅEMŠANĀ_jaunais'!$BB$8</f>
        <v>0</v>
      </c>
      <c r="K468" s="155">
        <f>H468*'Darba algas UZŅEMŠANĀ_jaunais'!$BA$8</f>
        <v>0</v>
      </c>
      <c r="M468" s="139">
        <f>F468*'Darba algas UZŅEMŠANĀ_jaunais'!$BA$41</f>
        <v>141154.49500000002</v>
      </c>
      <c r="N468" s="139"/>
    </row>
    <row r="469" spans="1:14" x14ac:dyDescent="0.25">
      <c r="A469" s="2"/>
      <c r="B469" s="2"/>
      <c r="C469" s="2" t="s">
        <v>13</v>
      </c>
      <c r="D469" s="2" t="s">
        <v>14</v>
      </c>
      <c r="E469" s="2" t="s">
        <v>67</v>
      </c>
      <c r="F469" s="2">
        <v>1</v>
      </c>
      <c r="G469" s="2">
        <v>0</v>
      </c>
      <c r="H469" s="2">
        <v>0</v>
      </c>
      <c r="I469" s="155">
        <f>F469*'Darba algas UZŅEMŠANĀ_jaunais'!$BD$8</f>
        <v>236019.93968050004</v>
      </c>
      <c r="J469" s="155">
        <f>G469*'Darba algas UZŅEMŠANĀ_jaunais'!$BB$8</f>
        <v>0</v>
      </c>
      <c r="K469" s="155">
        <f>H469*'Darba algas UZŅEMŠANĀ_jaunais'!$BA$8</f>
        <v>0</v>
      </c>
      <c r="M469" s="139">
        <f>F469*'Darba algas UZŅEMŠANĀ_jaunais'!$BA$41</f>
        <v>141154.49500000002</v>
      </c>
      <c r="N469" s="139"/>
    </row>
    <row r="470" spans="1:14" x14ac:dyDescent="0.25">
      <c r="A470" s="2"/>
      <c r="C470" s="2" t="s">
        <v>15</v>
      </c>
      <c r="D470" s="2" t="s">
        <v>13</v>
      </c>
      <c r="E470" s="2" t="s">
        <v>74</v>
      </c>
      <c r="F470" s="2">
        <v>1</v>
      </c>
      <c r="G470" s="2">
        <v>0</v>
      </c>
      <c r="H470" s="2">
        <v>0</v>
      </c>
      <c r="I470" s="155">
        <f>F470*'Darba algas UZŅEMŠANĀ_jaunais'!$BD$8</f>
        <v>236019.93968050004</v>
      </c>
      <c r="J470" s="155">
        <f>G470*'Darba algas UZŅEMŠANĀ_jaunais'!$BB$8</f>
        <v>0</v>
      </c>
      <c r="K470" s="155">
        <f>H470*'Darba algas UZŅEMŠANĀ_jaunais'!$BA$8</f>
        <v>0</v>
      </c>
      <c r="M470" s="139">
        <f>F470*'Darba algas UZŅEMŠANĀ_jaunais'!$BA$41</f>
        <v>141154.49500000002</v>
      </c>
      <c r="N470" s="139"/>
    </row>
    <row r="471" spans="1:14" x14ac:dyDescent="0.25">
      <c r="A471" s="2"/>
      <c r="C471" s="2" t="s">
        <v>31</v>
      </c>
      <c r="D471" s="2" t="s">
        <v>15</v>
      </c>
      <c r="E471" s="2" t="s">
        <v>75</v>
      </c>
      <c r="F471" s="2">
        <v>0</v>
      </c>
      <c r="G471" s="2">
        <v>0</v>
      </c>
      <c r="H471" s="2">
        <v>0</v>
      </c>
      <c r="I471" s="155">
        <f>F471*'Darba algas UZŅEMŠANĀ_jaunais'!$BD$8</f>
        <v>0</v>
      </c>
      <c r="J471" s="155">
        <f>G471*'Darba algas UZŅEMŠANĀ_jaunais'!$BB$8</f>
        <v>0</v>
      </c>
      <c r="K471" s="155">
        <f>H471*'Darba algas UZŅEMŠANĀ_jaunais'!$BA$8</f>
        <v>0</v>
      </c>
      <c r="M471" s="139">
        <f>F471*'Darba algas UZŅEMŠANĀ_jaunais'!$BA$41</f>
        <v>0</v>
      </c>
      <c r="N471" s="139"/>
    </row>
    <row r="472" spans="1:14" x14ac:dyDescent="0.25">
      <c r="A472" s="2"/>
      <c r="C472" s="2"/>
      <c r="D472" s="2" t="s">
        <v>31</v>
      </c>
      <c r="E472" s="2" t="s">
        <v>69</v>
      </c>
      <c r="F472" s="2">
        <v>1</v>
      </c>
      <c r="G472" s="2">
        <v>1</v>
      </c>
      <c r="H472" s="2">
        <v>1</v>
      </c>
      <c r="I472" s="155">
        <f>F472*'Darba algas UZŅEMŠANĀ_jaunais'!$BD$8</f>
        <v>236019.93968050004</v>
      </c>
      <c r="J472" s="155">
        <f>G472*'Darba algas UZŅEMŠANĀ_jaunais'!$BB$8</f>
        <v>82058.352937500007</v>
      </c>
      <c r="K472" s="155">
        <f>H472*'Darba algas UZŅEMŠANĀ_jaunais'!$BA$8</f>
        <v>17357.755127250002</v>
      </c>
      <c r="M472" s="139">
        <f>F472*'Darba algas UZŅEMŠANĀ_jaunais'!$BA$41</f>
        <v>141154.49500000002</v>
      </c>
      <c r="N472" s="139"/>
    </row>
    <row r="473" spans="1:14" x14ac:dyDescent="0.25">
      <c r="A473" s="2"/>
      <c r="C473" s="2"/>
      <c r="D473" s="2"/>
      <c r="E473" s="2" t="s">
        <v>68</v>
      </c>
      <c r="F473" s="2">
        <v>1</v>
      </c>
      <c r="G473" s="2">
        <v>0</v>
      </c>
      <c r="H473" s="2">
        <v>0</v>
      </c>
      <c r="I473" s="155">
        <f>F473*'Darba algas UZŅEMŠANĀ_jaunais'!$BD$8</f>
        <v>236019.93968050004</v>
      </c>
      <c r="J473" s="155">
        <f>G473*'Darba algas UZŅEMŠANĀ_jaunais'!$BB$8</f>
        <v>0</v>
      </c>
      <c r="K473" s="155">
        <f>H473*'Darba algas UZŅEMŠANĀ_jaunais'!$BA$8</f>
        <v>0</v>
      </c>
      <c r="M473" s="139">
        <f>F473*'Darba algas UZŅEMŠANĀ_jaunais'!$BA$41</f>
        <v>141154.49500000002</v>
      </c>
      <c r="N473" s="139"/>
    </row>
    <row r="474" spans="1:14" x14ac:dyDescent="0.25">
      <c r="A474" s="2"/>
      <c r="C474" s="2"/>
      <c r="D474" s="2"/>
      <c r="E474" s="2" t="s">
        <v>70</v>
      </c>
      <c r="F474" s="2">
        <v>1</v>
      </c>
      <c r="G474" s="2">
        <v>0</v>
      </c>
      <c r="H474" s="2">
        <v>0</v>
      </c>
      <c r="I474" s="155">
        <f>F474*'Darba algas UZŅEMŠANĀ_jaunais'!$BD$10</f>
        <v>138971.89955050001</v>
      </c>
      <c r="J474" s="155">
        <f>G474*'Darba algas UZŅEMŠANĀ_jaunais'!$BB$10</f>
        <v>0</v>
      </c>
      <c r="K474" s="155">
        <f>H474*'Darba algas UZŅEMŠANĀ_jaunais'!$BA$10</f>
        <v>0</v>
      </c>
      <c r="M474" s="139">
        <f>F474*'Darba algas UZŅEMŠANĀ_jaunais'!$BA$48</f>
        <v>88297.795000000013</v>
      </c>
      <c r="N474" s="139"/>
    </row>
    <row r="475" spans="1:14" x14ac:dyDescent="0.25">
      <c r="A475" s="2"/>
      <c r="C475" s="2"/>
      <c r="D475" s="2"/>
      <c r="E475" s="2" t="s">
        <v>87</v>
      </c>
      <c r="F475" s="2">
        <v>0</v>
      </c>
      <c r="G475" s="2">
        <v>0</v>
      </c>
      <c r="H475" s="2">
        <v>0</v>
      </c>
      <c r="I475" s="155">
        <f>F475*'Darba algas UZŅEMŠANĀ_jaunais'!$BD$8</f>
        <v>0</v>
      </c>
      <c r="J475" s="155">
        <f>G475*'Darba algas UZŅEMŠANĀ_jaunais'!$BB$8</f>
        <v>0</v>
      </c>
      <c r="K475" s="155">
        <f>H475*'Darba algas UZŅEMŠANĀ_jaunais'!$BA$8</f>
        <v>0</v>
      </c>
      <c r="M475" s="139">
        <f>F475*'Darba algas UZŅEMŠANĀ_jaunais'!$BA$41</f>
        <v>0</v>
      </c>
      <c r="N475" s="139"/>
    </row>
    <row r="476" spans="1:14" x14ac:dyDescent="0.25">
      <c r="A476" s="2"/>
      <c r="C476" s="2"/>
      <c r="D476" s="2"/>
      <c r="E476" s="2" t="s">
        <v>72</v>
      </c>
      <c r="F476" s="2">
        <v>6</v>
      </c>
      <c r="G476" s="2">
        <v>1</v>
      </c>
      <c r="H476" s="2">
        <v>1</v>
      </c>
      <c r="I476" s="155">
        <f>F476*'Darba algas UZŅEMŠANĀ_jaunais'!$BD$10</f>
        <v>833831.39730300009</v>
      </c>
      <c r="J476" s="155">
        <f>G476*'Darba algas UZŅEMŠANĀ_jaunais'!$BB$10</f>
        <v>51330.789187500006</v>
      </c>
      <c r="K476" s="155">
        <f>H476*'Darba algas UZŅEMŠANĀ_jaunais'!$BA$10</f>
        <v>10857.971642250001</v>
      </c>
      <c r="M476" s="139">
        <f>F476*'Darba algas UZŅEMŠANĀ_jaunais'!$BA$48</f>
        <v>529786.77</v>
      </c>
      <c r="N476" s="139"/>
    </row>
    <row r="477" spans="1:14" x14ac:dyDescent="0.25">
      <c r="A477" s="2"/>
      <c r="C477" s="2"/>
      <c r="D477" s="2"/>
      <c r="E477" s="2" t="s">
        <v>76</v>
      </c>
      <c r="F477" s="2">
        <v>2</v>
      </c>
      <c r="G477" s="2">
        <v>0</v>
      </c>
      <c r="H477" s="2">
        <v>0</v>
      </c>
      <c r="I477" s="155">
        <f>F477*'Darba algas UZŅEMŠANĀ_jaunais'!$BD$10</f>
        <v>277943.79910100001</v>
      </c>
      <c r="J477" s="155">
        <f>G477*'Darba algas UZŅEMŠANĀ_jaunais'!$BB$10</f>
        <v>0</v>
      </c>
      <c r="K477" s="155">
        <f>H477*'Darba algas UZŅEMŠANĀ_jaunais'!$BA$10</f>
        <v>0</v>
      </c>
      <c r="M477" s="139">
        <f>F477*'Darba algas UZŅEMŠANĀ_jaunais'!$BA$48</f>
        <v>176595.59000000003</v>
      </c>
      <c r="N477" s="139"/>
    </row>
    <row r="478" spans="1:14" x14ac:dyDescent="0.25">
      <c r="A478" s="2"/>
      <c r="C478" s="2"/>
      <c r="D478" s="2"/>
      <c r="E478" s="2" t="s">
        <v>73</v>
      </c>
      <c r="F478" s="2">
        <v>6</v>
      </c>
      <c r="G478" s="2">
        <v>0</v>
      </c>
      <c r="H478" s="2">
        <v>0</v>
      </c>
      <c r="I478" s="155">
        <f>F478*'Darba algas UZŅEMŠANĀ_jaunais'!$BD$11</f>
        <v>553541.180865</v>
      </c>
      <c r="J478" s="155">
        <f>ROUND(G478*'Darba algas UZŅEMŠANĀ_jaunais'!$BA$11,0)</f>
        <v>0</v>
      </c>
      <c r="K478" s="155">
        <f>ROUND(H478*'Darba algas UZŅEMŠANĀ_jaunais'!$BB$11,0)</f>
        <v>0</v>
      </c>
      <c r="M478" s="139">
        <f>F478*'Darba algas UZŅEMŠANĀ_jaunais'!$BA$55</f>
        <v>351700.35</v>
      </c>
      <c r="N478" s="139"/>
    </row>
    <row r="479" spans="1:14" ht="12" thickBot="1" x14ac:dyDescent="0.3">
      <c r="A479" s="2"/>
      <c r="C479" s="2"/>
      <c r="D479" s="2"/>
      <c r="E479" s="176" t="s">
        <v>77</v>
      </c>
      <c r="F479" s="176">
        <v>0</v>
      </c>
      <c r="G479" s="176">
        <v>0</v>
      </c>
      <c r="H479" s="176">
        <v>0</v>
      </c>
      <c r="I479" s="155">
        <f>ROUND(F479*'Darba algas UZŅEMŠANĀ_jaunais'!$BE$10,0)</f>
        <v>0</v>
      </c>
      <c r="J479" s="155">
        <f>G479*'Darba algas UZŅEMŠANĀ_jaunais'!$BB$10</f>
        <v>0</v>
      </c>
      <c r="K479" s="155">
        <f>H479*'Darba algas UZŅEMŠANĀ_jaunais'!$BA$10</f>
        <v>0</v>
      </c>
      <c r="M479" s="139">
        <f>F479*'Darba algas UZŅEMŠANĀ_jaunais'!$BA$48</f>
        <v>0</v>
      </c>
      <c r="N479" s="139"/>
    </row>
    <row r="480" spans="1:14" ht="12" thickBot="1" x14ac:dyDescent="0.3">
      <c r="A480" s="2"/>
      <c r="B480" s="2"/>
      <c r="D480" s="173" t="s">
        <v>179</v>
      </c>
      <c r="E480" s="174">
        <f>SUM(F480:H480)</f>
        <v>4251717.0954170004</v>
      </c>
      <c r="F480" s="175">
        <f>I463</f>
        <v>3692447.7942635003</v>
      </c>
      <c r="G480" s="175">
        <f>J463</f>
        <v>461622.55387500004</v>
      </c>
      <c r="H480" s="175">
        <f>K463</f>
        <v>97646.747278500014</v>
      </c>
      <c r="M480" s="139"/>
      <c r="N480" s="139"/>
    </row>
    <row r="481" spans="1:14" x14ac:dyDescent="0.25">
      <c r="A481" s="184" t="s">
        <v>91</v>
      </c>
      <c r="B481" s="5" t="s">
        <v>58</v>
      </c>
      <c r="C481" s="5" t="s">
        <v>7</v>
      </c>
      <c r="D481" s="5" t="s">
        <v>18</v>
      </c>
      <c r="E481" s="169" t="s">
        <v>80</v>
      </c>
      <c r="F481" s="5">
        <f>SUM(F482:F491,F493)</f>
        <v>5</v>
      </c>
      <c r="G481" s="5">
        <f>SUM(G482:G491,G493)</f>
        <v>1</v>
      </c>
      <c r="H481" s="5">
        <f>SUM(H482:H491,H493)</f>
        <v>1</v>
      </c>
      <c r="I481" s="170">
        <f>SUM(I482:I497)</f>
        <v>2414223.225189094</v>
      </c>
      <c r="J481" s="170">
        <f t="shared" ref="J481:K481" si="26">SUM(J482:J497)</f>
        <v>133389.14212500001</v>
      </c>
      <c r="K481" s="170">
        <f t="shared" si="26"/>
        <v>28215.726769500005</v>
      </c>
      <c r="L481" s="153">
        <f>SUM(I481:K481)</f>
        <v>2575828.0940835937</v>
      </c>
      <c r="M481" s="139">
        <f>SUM(M482:M497)</f>
        <v>1520990.7215625001</v>
      </c>
      <c r="N481" s="139">
        <f>(F481-1)*'Darba algas UZŅEMŠANĀ_jaunais'!BE15</f>
        <v>55427.519999999997</v>
      </c>
    </row>
    <row r="482" spans="1:14" x14ac:dyDescent="0.25">
      <c r="A482" s="2"/>
      <c r="B482" s="2"/>
      <c r="C482" s="2" t="s">
        <v>9</v>
      </c>
      <c r="D482" s="2" t="s">
        <v>10</v>
      </c>
      <c r="E482" s="2" t="s">
        <v>64</v>
      </c>
      <c r="F482" s="2">
        <v>1</v>
      </c>
      <c r="G482" s="2">
        <v>0</v>
      </c>
      <c r="H482" s="2">
        <v>0</v>
      </c>
      <c r="I482" s="155">
        <f>F482*'Darba algas UZŅEMŠANĀ_jaunais'!$BD$8</f>
        <v>236019.93968050004</v>
      </c>
      <c r="J482" s="155">
        <f>G482*'Darba algas UZŅEMŠANĀ_jaunais'!$BB$8</f>
        <v>0</v>
      </c>
      <c r="K482" s="155">
        <f>H482*'Darba algas UZŅEMŠANĀ_jaunais'!$BA$8</f>
        <v>0</v>
      </c>
      <c r="M482" s="139">
        <f>F482*'Darba algas UZŅEMŠANĀ_jaunais'!$BA$41</f>
        <v>141154.49500000002</v>
      </c>
      <c r="N482" s="139"/>
    </row>
    <row r="483" spans="1:14" x14ac:dyDescent="0.25">
      <c r="A483" s="2"/>
      <c r="B483" s="2"/>
      <c r="C483" s="2" t="s">
        <v>11</v>
      </c>
      <c r="D483" s="2" t="s">
        <v>24</v>
      </c>
      <c r="E483" s="2" t="s">
        <v>82</v>
      </c>
      <c r="F483" s="2">
        <v>0</v>
      </c>
      <c r="G483" s="2">
        <v>0</v>
      </c>
      <c r="H483" s="2">
        <v>0</v>
      </c>
      <c r="I483" s="155">
        <f>F483*'Darba algas UZŅEMŠANĀ_jaunais'!$BD$8</f>
        <v>0</v>
      </c>
      <c r="J483" s="155">
        <f>G483*'Darba algas UZŅEMŠANĀ_jaunais'!$BB$8</f>
        <v>0</v>
      </c>
      <c r="K483" s="155">
        <f>H483*'Darba algas UZŅEMŠANĀ_jaunais'!$BA$8</f>
        <v>0</v>
      </c>
      <c r="M483" s="139">
        <f>F483*'Darba algas UZŅEMŠANĀ_jaunais'!$BA$41</f>
        <v>0</v>
      </c>
      <c r="N483" s="139"/>
    </row>
    <row r="484" spans="1:14" x14ac:dyDescent="0.25">
      <c r="A484" s="2"/>
      <c r="B484" s="2"/>
      <c r="C484" s="2" t="s">
        <v>21</v>
      </c>
      <c r="D484" s="2" t="s">
        <v>33</v>
      </c>
      <c r="E484" s="2" t="s">
        <v>65</v>
      </c>
      <c r="F484" s="2">
        <v>1</v>
      </c>
      <c r="G484" s="2">
        <v>0</v>
      </c>
      <c r="H484" s="2">
        <v>0</v>
      </c>
      <c r="I484" s="155">
        <f>F484*'Darba algas UZŅEMŠANĀ_jaunais'!$BD$8</f>
        <v>236019.93968050004</v>
      </c>
      <c r="J484" s="155">
        <f>G484*'Darba algas UZŅEMŠANĀ_jaunais'!$BB$8</f>
        <v>0</v>
      </c>
      <c r="K484" s="155">
        <f>H484*'Darba algas UZŅEMŠANĀ_jaunais'!$BA$8</f>
        <v>0</v>
      </c>
      <c r="M484" s="139">
        <f>F484*'Darba algas UZŅEMŠANĀ_jaunais'!$BA$41</f>
        <v>141154.49500000002</v>
      </c>
      <c r="N484" s="139"/>
    </row>
    <row r="485" spans="1:14" x14ac:dyDescent="0.25">
      <c r="A485" s="2"/>
      <c r="B485" s="2"/>
      <c r="C485" s="2" t="s">
        <v>12</v>
      </c>
      <c r="D485" s="2"/>
      <c r="E485" s="2" t="s">
        <v>83</v>
      </c>
      <c r="F485" s="2">
        <v>1</v>
      </c>
      <c r="G485" s="2">
        <v>0</v>
      </c>
      <c r="H485" s="2">
        <v>0</v>
      </c>
      <c r="I485" s="155">
        <f>F485*'Darba algas UZŅEMŠANĀ_jaunais'!$BD$8</f>
        <v>236019.93968050004</v>
      </c>
      <c r="J485" s="155">
        <f>G485*'Darba algas UZŅEMŠANĀ_jaunais'!$BB$8</f>
        <v>0</v>
      </c>
      <c r="K485" s="155">
        <f>H485*'Darba algas UZŅEMŠANĀ_jaunais'!$BA$8</f>
        <v>0</v>
      </c>
      <c r="M485" s="139">
        <f>F485*'Darba algas UZŅEMŠANĀ_jaunais'!$BA$41</f>
        <v>141154.49500000002</v>
      </c>
      <c r="N485" s="139"/>
    </row>
    <row r="486" spans="1:14" x14ac:dyDescent="0.25">
      <c r="A486" s="2"/>
      <c r="B486" s="2"/>
      <c r="C486" s="3" t="s">
        <v>26</v>
      </c>
      <c r="D486" s="188"/>
      <c r="E486" s="2" t="s">
        <v>66</v>
      </c>
      <c r="F486" s="2">
        <v>0</v>
      </c>
      <c r="G486" s="2">
        <v>0</v>
      </c>
      <c r="H486" s="2">
        <v>0</v>
      </c>
      <c r="I486" s="155">
        <f>F486*'Darba algas UZŅEMŠANĀ_jaunais'!$BD$8</f>
        <v>0</v>
      </c>
      <c r="J486" s="155">
        <f>G486*'Darba algas UZŅEMŠANĀ_jaunais'!$BB$8</f>
        <v>0</v>
      </c>
      <c r="K486" s="155">
        <f>H486*'Darba algas UZŅEMŠANĀ_jaunais'!$BA$8</f>
        <v>0</v>
      </c>
      <c r="M486" s="139">
        <f>F486*'Darba algas UZŅEMŠANĀ_jaunais'!$BA$41</f>
        <v>0</v>
      </c>
      <c r="N486" s="139"/>
    </row>
    <row r="487" spans="1:14" x14ac:dyDescent="0.25">
      <c r="A487" s="2"/>
      <c r="B487" s="2"/>
      <c r="C487" s="2" t="s">
        <v>14</v>
      </c>
      <c r="D487" s="2"/>
      <c r="E487" s="2" t="s">
        <v>67</v>
      </c>
      <c r="F487" s="2">
        <v>0</v>
      </c>
      <c r="G487" s="2">
        <v>0</v>
      </c>
      <c r="H487" s="2">
        <v>0</v>
      </c>
      <c r="I487" s="155">
        <f>F487*'Darba algas UZŅEMŠANĀ_jaunais'!$BD$8</f>
        <v>0</v>
      </c>
      <c r="J487" s="155">
        <f>G487*'Darba algas UZŅEMŠANĀ_jaunais'!$BB$8</f>
        <v>0</v>
      </c>
      <c r="K487" s="155">
        <f>H487*'Darba algas UZŅEMŠANĀ_jaunais'!$BA$8</f>
        <v>0</v>
      </c>
      <c r="M487" s="139">
        <f>F487*'Darba algas UZŅEMŠANĀ_jaunais'!$BA$41</f>
        <v>0</v>
      </c>
      <c r="N487" s="139"/>
    </row>
    <row r="488" spans="1:14" x14ac:dyDescent="0.25">
      <c r="A488" s="2"/>
      <c r="B488" s="2"/>
      <c r="C488" s="2" t="s">
        <v>47</v>
      </c>
      <c r="D488" s="2"/>
      <c r="E488" s="2" t="s">
        <v>74</v>
      </c>
      <c r="F488" s="2">
        <v>1</v>
      </c>
      <c r="G488" s="2">
        <v>0</v>
      </c>
      <c r="H488" s="2">
        <v>0</v>
      </c>
      <c r="I488" s="155">
        <f>F488*'Darba algas UZŅEMŠANĀ_jaunais'!$BD$8</f>
        <v>236019.93968050004</v>
      </c>
      <c r="J488" s="155">
        <f>G488*'Darba algas UZŅEMŠANĀ_jaunais'!$BB$8</f>
        <v>0</v>
      </c>
      <c r="K488" s="155">
        <f>H488*'Darba algas UZŅEMŠANĀ_jaunais'!$BA$8</f>
        <v>0</v>
      </c>
      <c r="M488" s="139">
        <f>F488*'Darba algas UZŅEMŠANĀ_jaunais'!$BA$41</f>
        <v>141154.49500000002</v>
      </c>
      <c r="N488" s="139"/>
    </row>
    <row r="489" spans="1:14" x14ac:dyDescent="0.25">
      <c r="A489" s="2"/>
      <c r="B489" s="2"/>
      <c r="C489" s="2" t="s">
        <v>27</v>
      </c>
      <c r="D489" s="2"/>
      <c r="E489" s="2" t="s">
        <v>75</v>
      </c>
      <c r="F489" s="2">
        <v>0</v>
      </c>
      <c r="G489" s="2">
        <v>0</v>
      </c>
      <c r="H489" s="2">
        <v>0</v>
      </c>
      <c r="I489" s="155">
        <f>F489*'Darba algas UZŅEMŠANĀ_jaunais'!$BD$8</f>
        <v>0</v>
      </c>
      <c r="J489" s="155">
        <f>G489*'Darba algas UZŅEMŠANĀ_jaunais'!$BB$8</f>
        <v>0</v>
      </c>
      <c r="K489" s="155">
        <f>H489*'Darba algas UZŅEMŠANĀ_jaunais'!$BA$8</f>
        <v>0</v>
      </c>
      <c r="M489" s="139">
        <f>F489*'Darba algas UZŅEMŠANĀ_jaunais'!$BA$41</f>
        <v>0</v>
      </c>
      <c r="N489" s="139"/>
    </row>
    <row r="490" spans="1:14" x14ac:dyDescent="0.25">
      <c r="A490" s="2"/>
      <c r="B490" s="2"/>
      <c r="C490" s="2"/>
      <c r="D490" s="2"/>
      <c r="E490" s="2" t="s">
        <v>69</v>
      </c>
      <c r="F490" s="2">
        <v>0</v>
      </c>
      <c r="G490" s="2">
        <v>1</v>
      </c>
      <c r="H490" s="2">
        <v>1</v>
      </c>
      <c r="I490" s="155">
        <f>F490*'Darba algas UZŅEMŠANĀ_jaunais'!$BD$8</f>
        <v>0</v>
      </c>
      <c r="J490" s="155">
        <f>G490*'Darba algas UZŅEMŠANĀ_jaunais'!$BB$8</f>
        <v>82058.352937500007</v>
      </c>
      <c r="K490" s="155">
        <f>H490*'Darba algas UZŅEMŠANĀ_jaunais'!$BA$8</f>
        <v>17357.755127250002</v>
      </c>
      <c r="M490" s="139">
        <f>F490*'Darba algas UZŅEMŠANĀ_jaunais'!$BA$41</f>
        <v>0</v>
      </c>
      <c r="N490" s="139"/>
    </row>
    <row r="491" spans="1:14" x14ac:dyDescent="0.25">
      <c r="A491" s="2"/>
      <c r="B491" s="2"/>
      <c r="C491" s="2"/>
      <c r="D491" s="2"/>
      <c r="E491" s="2" t="s">
        <v>184</v>
      </c>
      <c r="F491" s="197">
        <v>1</v>
      </c>
      <c r="G491" s="2">
        <v>0</v>
      </c>
      <c r="H491" s="2">
        <v>0</v>
      </c>
      <c r="I491" s="155">
        <f>F491*'Darba algas UZŅEMŠANĀ_jaunais'!$BD$9</f>
        <v>128312.71570359374</v>
      </c>
      <c r="J491" s="155">
        <f>G491*'Darba algas UZŅEMŠANĀ_jaunais'!$BB$8</f>
        <v>0</v>
      </c>
      <c r="K491" s="155">
        <f>H491*'Darba algas UZŅEMŠANĀ_jaunais'!$BA$8</f>
        <v>0</v>
      </c>
      <c r="M491" s="139">
        <f>F491*'Darba algas UZŅEMŠANĀ_jaunais'!$BA$42</f>
        <v>103821.27656249999</v>
      </c>
      <c r="N491" s="139"/>
    </row>
    <row r="492" spans="1:14" x14ac:dyDescent="0.25">
      <c r="A492" s="2"/>
      <c r="B492" s="2"/>
      <c r="C492" s="2"/>
      <c r="D492" s="2"/>
      <c r="E492" s="2" t="s">
        <v>70</v>
      </c>
      <c r="F492" s="2">
        <v>1</v>
      </c>
      <c r="G492" s="2">
        <v>0</v>
      </c>
      <c r="H492" s="2">
        <v>0</v>
      </c>
      <c r="I492" s="155">
        <f>F492*'Darba algas UZŅEMŠANĀ_jaunais'!$BD$10</f>
        <v>138971.89955050001</v>
      </c>
      <c r="J492" s="155">
        <f>G492*'Darba algas UZŅEMŠANĀ_jaunais'!$BB$10</f>
        <v>0</v>
      </c>
      <c r="K492" s="155">
        <f>H492*'Darba algas UZŅEMŠANĀ_jaunais'!$BA$10</f>
        <v>0</v>
      </c>
      <c r="M492" s="139">
        <f>F492*'Darba algas UZŅEMŠANĀ_jaunais'!$BA$48</f>
        <v>88297.795000000013</v>
      </c>
      <c r="N492" s="139"/>
    </row>
    <row r="493" spans="1:14" x14ac:dyDescent="0.25">
      <c r="A493" s="2"/>
      <c r="B493" s="2"/>
      <c r="C493" s="2"/>
      <c r="D493" s="2"/>
      <c r="E493" s="2" t="s">
        <v>71</v>
      </c>
      <c r="F493" s="2">
        <v>0</v>
      </c>
      <c r="G493" s="2">
        <v>0</v>
      </c>
      <c r="H493" s="2">
        <v>0</v>
      </c>
      <c r="I493" s="155">
        <f>F493*'Darba algas UZŅEMŠANĀ_jaunais'!$BD$8</f>
        <v>0</v>
      </c>
      <c r="J493" s="155">
        <f>G493*'Darba algas UZŅEMŠANĀ_jaunais'!$BB$8</f>
        <v>0</v>
      </c>
      <c r="K493" s="155">
        <f>H493*'Darba algas UZŅEMŠANĀ_jaunais'!$BA$8</f>
        <v>0</v>
      </c>
      <c r="M493" s="139">
        <f>F493*'Darba algas UZŅEMŠANĀ_jaunais'!$BA$41</f>
        <v>0</v>
      </c>
      <c r="N493" s="139"/>
    </row>
    <row r="494" spans="1:14" x14ac:dyDescent="0.25">
      <c r="A494" s="2"/>
      <c r="B494" s="2"/>
      <c r="C494" s="2"/>
      <c r="D494" s="2"/>
      <c r="E494" s="2" t="s">
        <v>72</v>
      </c>
      <c r="F494" s="2">
        <v>4</v>
      </c>
      <c r="G494" s="2">
        <v>1</v>
      </c>
      <c r="H494" s="2">
        <v>1</v>
      </c>
      <c r="I494" s="155">
        <f>F494*'Darba algas UZŅEMŠANĀ_jaunais'!$BD$10</f>
        <v>555887.59820200002</v>
      </c>
      <c r="J494" s="155">
        <f>G494*'Darba algas UZŅEMŠANĀ_jaunais'!$BB$10</f>
        <v>51330.789187500006</v>
      </c>
      <c r="K494" s="155">
        <f>H494*'Darba algas UZŅEMŠANĀ_jaunais'!$BA$10</f>
        <v>10857.971642250001</v>
      </c>
      <c r="M494" s="139">
        <f>F494*'Darba algas UZŅEMŠANĀ_jaunais'!$BA$48</f>
        <v>353191.18000000005</v>
      </c>
      <c r="N494" s="139"/>
    </row>
    <row r="495" spans="1:14" x14ac:dyDescent="0.25">
      <c r="A495" s="2"/>
      <c r="B495" s="2"/>
      <c r="C495" s="2"/>
      <c r="D495" s="2"/>
      <c r="E495" s="2" t="s">
        <v>76</v>
      </c>
      <c r="F495" s="2">
        <v>2</v>
      </c>
      <c r="G495" s="2">
        <v>0</v>
      </c>
      <c r="H495" s="2">
        <v>0</v>
      </c>
      <c r="I495" s="155">
        <f>F495*'Darba algas UZŅEMŠANĀ_jaunais'!$BD$10</f>
        <v>277943.79910100001</v>
      </c>
      <c r="J495" s="155">
        <f>G495*'Darba algas UZŅEMŠANĀ_jaunais'!$BB$10</f>
        <v>0</v>
      </c>
      <c r="K495" s="155">
        <f>H495*'Darba algas UZŅEMŠANĀ_jaunais'!$BA$10</f>
        <v>0</v>
      </c>
      <c r="M495" s="139">
        <f>F495*'Darba algas UZŅEMŠANĀ_jaunais'!$BA$48</f>
        <v>176595.59000000003</v>
      </c>
      <c r="N495" s="139"/>
    </row>
    <row r="496" spans="1:14" x14ac:dyDescent="0.25">
      <c r="A496" s="2"/>
      <c r="B496" s="2"/>
      <c r="C496" s="2"/>
      <c r="D496" s="2"/>
      <c r="E496" s="2" t="s">
        <v>73</v>
      </c>
      <c r="F496" s="2">
        <v>4</v>
      </c>
      <c r="G496" s="2">
        <v>0</v>
      </c>
      <c r="H496" s="2">
        <v>0</v>
      </c>
      <c r="I496" s="155">
        <f>F496*'Darba algas UZŅEMŠANĀ_jaunais'!$BD$11</f>
        <v>369027.45390999998</v>
      </c>
      <c r="J496" s="155">
        <f>ROUND(G496*'Darba algas UZŅEMŠANĀ_jaunais'!$BA$11,0)</f>
        <v>0</v>
      </c>
      <c r="K496" s="155">
        <f>ROUND(H496*'Darba algas UZŅEMŠANĀ_jaunais'!$BB$11,0)</f>
        <v>0</v>
      </c>
      <c r="M496" s="139">
        <f>F496*'Darba algas UZŅEMŠANĀ_jaunais'!$BA$55</f>
        <v>234466.9</v>
      </c>
      <c r="N496" s="139"/>
    </row>
    <row r="497" spans="1:14" ht="12" thickBot="1" x14ac:dyDescent="0.3">
      <c r="A497" s="2"/>
      <c r="B497" s="2"/>
      <c r="C497" s="2"/>
      <c r="D497" s="2"/>
      <c r="E497" s="176" t="s">
        <v>77</v>
      </c>
      <c r="F497" s="176">
        <v>0</v>
      </c>
      <c r="G497" s="176">
        <v>0</v>
      </c>
      <c r="H497" s="176">
        <v>0</v>
      </c>
      <c r="I497" s="155">
        <f>ROUND(F497*'Darba algas UZŅEMŠANĀ_jaunais'!$BE$10,0)</f>
        <v>0</v>
      </c>
      <c r="J497" s="155">
        <f>G497*'Darba algas UZŅEMŠANĀ_jaunais'!$BB$10</f>
        <v>0</v>
      </c>
      <c r="K497" s="155">
        <f>H497*'Darba algas UZŅEMŠANĀ_jaunais'!$BA$10</f>
        <v>0</v>
      </c>
      <c r="M497" s="139">
        <f>F497*'Darba algas UZŅEMŠANĀ_jaunais'!$BA$48</f>
        <v>0</v>
      </c>
      <c r="N497" s="139"/>
    </row>
    <row r="498" spans="1:14" ht="12" thickBot="1" x14ac:dyDescent="0.3">
      <c r="A498" s="2"/>
      <c r="B498" s="2"/>
      <c r="D498" s="173" t="s">
        <v>179</v>
      </c>
      <c r="E498" s="174">
        <f>SUM(F498:H498)</f>
        <v>2575828.0940835937</v>
      </c>
      <c r="F498" s="175">
        <f>I481</f>
        <v>2414223.225189094</v>
      </c>
      <c r="G498" s="175">
        <f>J481</f>
        <v>133389.14212500001</v>
      </c>
      <c r="H498" s="175">
        <f>K481</f>
        <v>28215.726769500005</v>
      </c>
      <c r="M498" s="139"/>
      <c r="N498" s="139"/>
    </row>
    <row r="499" spans="1:14" x14ac:dyDescent="0.25">
      <c r="A499" s="184" t="s">
        <v>93</v>
      </c>
      <c r="B499" s="5" t="s">
        <v>59</v>
      </c>
      <c r="C499" s="5" t="s">
        <v>9</v>
      </c>
      <c r="D499" s="5" t="s">
        <v>18</v>
      </c>
      <c r="E499" s="169" t="s">
        <v>80</v>
      </c>
      <c r="F499" s="5">
        <f>SUM(F500:F509,F511)</f>
        <v>2</v>
      </c>
      <c r="G499" s="5">
        <f>SUM(G500:G509,G511)</f>
        <v>1</v>
      </c>
      <c r="H499" s="5">
        <f>SUM(H500:H509,H511)</f>
        <v>0</v>
      </c>
      <c r="I499" s="170">
        <f>SUM(I500:I515)</f>
        <v>837449.36528699996</v>
      </c>
      <c r="J499" s="170">
        <f t="shared" ref="J499:K499" si="27">SUM(J500:J515)</f>
        <v>56514.070364250001</v>
      </c>
      <c r="K499" s="170">
        <f t="shared" si="27"/>
        <v>0</v>
      </c>
      <c r="L499" s="153">
        <f>SUM(I499:K499)</f>
        <v>893963.43565124995</v>
      </c>
      <c r="M499" s="139">
        <f>SUM(M500:M515)</f>
        <v>523281.33000000007</v>
      </c>
      <c r="N499" s="139">
        <f>(F499-1)*'Darba algas UZŅEMŠANĀ_jaunais'!BE15</f>
        <v>13856.88</v>
      </c>
    </row>
    <row r="500" spans="1:14" x14ac:dyDescent="0.25">
      <c r="A500" s="172"/>
      <c r="B500" s="2"/>
      <c r="C500" s="2" t="s">
        <v>10</v>
      </c>
      <c r="D500" s="2" t="s">
        <v>10</v>
      </c>
      <c r="E500" s="2" t="s">
        <v>64</v>
      </c>
      <c r="F500" s="2">
        <v>1</v>
      </c>
      <c r="G500" s="2">
        <v>0</v>
      </c>
      <c r="H500" s="2">
        <v>0</v>
      </c>
      <c r="I500" s="155">
        <f>F500*'Darba algas UZŅEMŠANĀ_jaunais'!$BD$8</f>
        <v>236019.93968050004</v>
      </c>
      <c r="J500" s="155">
        <f>G500*'Darba algas UZŅEMŠANĀ_jaunais'!$BB$8</f>
        <v>0</v>
      </c>
      <c r="K500" s="155">
        <f>H500*'Darba algas UZŅEMŠANĀ_jaunais'!$BA$8</f>
        <v>0</v>
      </c>
      <c r="M500" s="139">
        <f>F500*'Darba algas UZŅEMŠANĀ_jaunais'!$BA$41</f>
        <v>141154.49500000002</v>
      </c>
      <c r="N500" s="139"/>
    </row>
    <row r="501" spans="1:14" x14ac:dyDescent="0.25">
      <c r="A501" s="172"/>
      <c r="B501" s="2"/>
      <c r="C501" s="2"/>
      <c r="D501" s="2"/>
      <c r="E501" s="2" t="s">
        <v>82</v>
      </c>
      <c r="F501" s="2">
        <v>0</v>
      </c>
      <c r="G501" s="2">
        <v>0</v>
      </c>
      <c r="H501" s="2">
        <v>0</v>
      </c>
      <c r="I501" s="155">
        <f>F501*'Darba algas UZŅEMŠANĀ_jaunais'!$BD$8</f>
        <v>0</v>
      </c>
      <c r="J501" s="155">
        <f>G501*'Darba algas UZŅEMŠANĀ_jaunais'!$BB$8</f>
        <v>0</v>
      </c>
      <c r="K501" s="155">
        <f>H501*'Darba algas UZŅEMŠANĀ_jaunais'!$BA$8</f>
        <v>0</v>
      </c>
      <c r="M501" s="139">
        <f>F501*'Darba algas UZŅEMŠANĀ_jaunais'!$BA$41</f>
        <v>0</v>
      </c>
      <c r="N501" s="139"/>
    </row>
    <row r="502" spans="1:14" ht="14.5" x14ac:dyDescent="0.35">
      <c r="A502" s="172"/>
      <c r="B502" s="2"/>
      <c r="C502" s="2"/>
      <c r="D502" s="2"/>
      <c r="E502" s="2" t="s">
        <v>202</v>
      </c>
      <c r="F502" s="197">
        <v>0</v>
      </c>
      <c r="G502" s="2">
        <v>1</v>
      </c>
      <c r="H502" s="2">
        <v>0</v>
      </c>
      <c r="I502" s="155">
        <f>F502*'Darba algas UZŅEMŠANĀ_jaunais'!$BD$8</f>
        <v>0</v>
      </c>
      <c r="J502" s="155">
        <f>G502*'Darba algas UZŅEMŠANĀ_jaunais'!$BC$8</f>
        <v>56514.070364250001</v>
      </c>
      <c r="K502" s="155">
        <f>H502*'Darba algas UZŅEMŠANĀ_jaunais'!$BA$8</f>
        <v>0</v>
      </c>
      <c r="M502" s="141">
        <f>F502*'Darba algas UZŅEMŠANĀ_jaunais'!$BA$41</f>
        <v>0</v>
      </c>
      <c r="N502" s="139"/>
    </row>
    <row r="503" spans="1:14" x14ac:dyDescent="0.25">
      <c r="A503" s="172"/>
      <c r="B503" s="2"/>
      <c r="C503" s="2"/>
      <c r="D503" s="2"/>
      <c r="E503" s="2" t="s">
        <v>83</v>
      </c>
      <c r="F503" s="2">
        <v>0</v>
      </c>
      <c r="G503" s="2">
        <v>0</v>
      </c>
      <c r="H503" s="2">
        <v>0</v>
      </c>
      <c r="I503" s="155">
        <f>F503*'Darba algas UZŅEMŠANĀ_jaunais'!$BD$8</f>
        <v>0</v>
      </c>
      <c r="J503" s="155">
        <f>G503*'Darba algas UZŅEMŠANĀ_jaunais'!$BB$8</f>
        <v>0</v>
      </c>
      <c r="K503" s="155">
        <f>H503*'Darba algas UZŅEMŠANĀ_jaunais'!$BA$8</f>
        <v>0</v>
      </c>
      <c r="M503" s="139">
        <f>F503*'Darba algas UZŅEMŠANĀ_jaunais'!$BA$41</f>
        <v>0</v>
      </c>
      <c r="N503" s="139"/>
    </row>
    <row r="504" spans="1:14" x14ac:dyDescent="0.25">
      <c r="A504" s="172"/>
      <c r="B504" s="2"/>
      <c r="C504" s="2"/>
      <c r="D504" s="2"/>
      <c r="E504" s="2" t="s">
        <v>66</v>
      </c>
      <c r="F504" s="2">
        <v>0</v>
      </c>
      <c r="G504" s="2">
        <v>0</v>
      </c>
      <c r="H504" s="2">
        <v>0</v>
      </c>
      <c r="I504" s="155">
        <f>F504*'Darba algas UZŅEMŠANĀ_jaunais'!$BD$8</f>
        <v>0</v>
      </c>
      <c r="J504" s="155">
        <f>G504*'Darba algas UZŅEMŠANĀ_jaunais'!$BB$8</f>
        <v>0</v>
      </c>
      <c r="K504" s="155">
        <f>H504*'Darba algas UZŅEMŠANĀ_jaunais'!$BA$8</f>
        <v>0</v>
      </c>
      <c r="M504" s="139">
        <f>F504*'Darba algas UZŅEMŠANĀ_jaunais'!$BA$41</f>
        <v>0</v>
      </c>
      <c r="N504" s="139"/>
    </row>
    <row r="505" spans="1:14" x14ac:dyDescent="0.25">
      <c r="A505" s="172"/>
      <c r="B505" s="2"/>
      <c r="C505" s="2"/>
      <c r="D505" s="2"/>
      <c r="E505" s="2" t="s">
        <v>67</v>
      </c>
      <c r="F505" s="2">
        <v>0</v>
      </c>
      <c r="G505" s="2">
        <v>0</v>
      </c>
      <c r="H505" s="2">
        <v>0</v>
      </c>
      <c r="I505" s="155">
        <f>F505*'Darba algas UZŅEMŠANĀ_jaunais'!$BD$8</f>
        <v>0</v>
      </c>
      <c r="J505" s="155">
        <f>G505*'Darba algas UZŅEMŠANĀ_jaunais'!$BB$8</f>
        <v>0</v>
      </c>
      <c r="K505" s="155">
        <f>H505*'Darba algas UZŅEMŠANĀ_jaunais'!$BA$8</f>
        <v>0</v>
      </c>
      <c r="M505" s="139">
        <f>F505*'Darba algas UZŅEMŠANĀ_jaunais'!$BA$41</f>
        <v>0</v>
      </c>
      <c r="N505" s="139"/>
    </row>
    <row r="506" spans="1:14" x14ac:dyDescent="0.25">
      <c r="A506" s="172"/>
      <c r="B506" s="2"/>
      <c r="C506" s="2"/>
      <c r="D506" s="2"/>
      <c r="E506" s="2" t="s">
        <v>74</v>
      </c>
      <c r="F506" s="2">
        <v>0</v>
      </c>
      <c r="G506" s="2">
        <v>0</v>
      </c>
      <c r="H506" s="2">
        <v>0</v>
      </c>
      <c r="I506" s="155">
        <f>F506*'Darba algas UZŅEMŠANĀ_jaunais'!$BD$8</f>
        <v>0</v>
      </c>
      <c r="J506" s="155">
        <f>G506*'Darba algas UZŅEMŠANĀ_jaunais'!$BB$8</f>
        <v>0</v>
      </c>
      <c r="K506" s="155">
        <f>H506*'Darba algas UZŅEMŠANĀ_jaunais'!$BA$8</f>
        <v>0</v>
      </c>
      <c r="M506" s="139">
        <f>F506*'Darba algas UZŅEMŠANĀ_jaunais'!$BA$41</f>
        <v>0</v>
      </c>
      <c r="N506" s="139"/>
    </row>
    <row r="507" spans="1:14" x14ac:dyDescent="0.25">
      <c r="A507" s="172"/>
      <c r="B507" s="2"/>
      <c r="C507" s="2"/>
      <c r="D507" s="2"/>
      <c r="E507" s="2" t="s">
        <v>75</v>
      </c>
      <c r="F507" s="2">
        <v>0</v>
      </c>
      <c r="G507" s="2">
        <v>0</v>
      </c>
      <c r="H507" s="2">
        <v>0</v>
      </c>
      <c r="I507" s="155">
        <f>F507*'Darba algas UZŅEMŠANĀ_jaunais'!$BD$8</f>
        <v>0</v>
      </c>
      <c r="J507" s="155">
        <f>G507*'Darba algas UZŅEMŠANĀ_jaunais'!$BB$8</f>
        <v>0</v>
      </c>
      <c r="K507" s="155">
        <f>H507*'Darba algas UZŅEMŠANĀ_jaunais'!$BA$8</f>
        <v>0</v>
      </c>
      <c r="M507" s="139">
        <f>F507*'Darba algas UZŅEMŠANĀ_jaunais'!$BA$41</f>
        <v>0</v>
      </c>
      <c r="N507" s="139"/>
    </row>
    <row r="508" spans="1:14" x14ac:dyDescent="0.25">
      <c r="A508" s="172"/>
      <c r="B508" s="2"/>
      <c r="C508" s="2"/>
      <c r="D508" s="2"/>
      <c r="E508" s="2" t="s">
        <v>69</v>
      </c>
      <c r="F508" s="2">
        <v>0</v>
      </c>
      <c r="G508" s="2">
        <v>0</v>
      </c>
      <c r="H508" s="2">
        <v>0</v>
      </c>
      <c r="I508" s="155">
        <f>F508*'Darba algas UZŅEMŠANĀ_jaunais'!$BD$8</f>
        <v>0</v>
      </c>
      <c r="J508" s="155">
        <f>G508*'Darba algas UZŅEMŠANĀ_jaunais'!$BB$8</f>
        <v>0</v>
      </c>
      <c r="K508" s="155">
        <f>H508*'Darba algas UZŅEMŠANĀ_jaunais'!$BA$8</f>
        <v>0</v>
      </c>
      <c r="M508" s="139">
        <f>F508*'Darba algas UZŅEMŠANĀ_jaunais'!$BA$41</f>
        <v>0</v>
      </c>
      <c r="N508" s="139"/>
    </row>
    <row r="509" spans="1:14" ht="14.5" x14ac:dyDescent="0.35">
      <c r="A509" s="172"/>
      <c r="B509" s="2"/>
      <c r="C509" s="2"/>
      <c r="D509" s="2"/>
      <c r="E509" s="2" t="s">
        <v>207</v>
      </c>
      <c r="F509" s="197">
        <v>1</v>
      </c>
      <c r="G509" s="2">
        <v>0</v>
      </c>
      <c r="H509" s="2">
        <v>0</v>
      </c>
      <c r="I509" s="374">
        <v>0</v>
      </c>
      <c r="J509" s="155">
        <f>G509*'Darba algas UZŅEMŠANĀ_jaunais'!$BB$8</f>
        <v>0</v>
      </c>
      <c r="K509" s="155">
        <f>H509*'Darba algas UZŅEMŠANĀ_jaunais'!$BA$8</f>
        <v>0</v>
      </c>
      <c r="M509" s="141">
        <v>0</v>
      </c>
      <c r="N509" s="139"/>
    </row>
    <row r="510" spans="1:14" x14ac:dyDescent="0.25">
      <c r="A510" s="172"/>
      <c r="B510" s="2"/>
      <c r="C510" s="2"/>
      <c r="D510" s="2"/>
      <c r="E510" s="2" t="s">
        <v>70</v>
      </c>
      <c r="F510" s="2">
        <v>1</v>
      </c>
      <c r="G510" s="2">
        <v>0</v>
      </c>
      <c r="H510" s="2">
        <v>0</v>
      </c>
      <c r="I510" s="155">
        <f>F510*'Darba algas UZŅEMŠANĀ_jaunais'!$BD$10</f>
        <v>138971.89955050001</v>
      </c>
      <c r="J510" s="155">
        <f>G510*'Darba algas UZŅEMŠANĀ_jaunais'!$BB$10</f>
        <v>0</v>
      </c>
      <c r="K510" s="155">
        <f>H510*'Darba algas UZŅEMŠANĀ_jaunais'!$BA$10</f>
        <v>0</v>
      </c>
      <c r="M510" s="139">
        <f>F510*'Darba algas UZŅEMŠANĀ_jaunais'!$BA$48</f>
        <v>88297.795000000013</v>
      </c>
      <c r="N510" s="139"/>
    </row>
    <row r="511" spans="1:14" x14ac:dyDescent="0.25">
      <c r="A511" s="172"/>
      <c r="B511" s="2"/>
      <c r="C511" s="2"/>
      <c r="D511" s="2"/>
      <c r="E511" s="2" t="s">
        <v>87</v>
      </c>
      <c r="F511" s="2">
        <v>0</v>
      </c>
      <c r="G511" s="2">
        <v>0</v>
      </c>
      <c r="H511" s="2">
        <v>0</v>
      </c>
      <c r="I511" s="155">
        <f>F511*'Darba algas UZŅEMŠANĀ_jaunais'!$BD$8</f>
        <v>0</v>
      </c>
      <c r="J511" s="155">
        <f>G511*'Darba algas UZŅEMŠANĀ_jaunais'!$BB$8</f>
        <v>0</v>
      </c>
      <c r="K511" s="155">
        <f>H511*'Darba algas UZŅEMŠANĀ_jaunais'!$BA$8</f>
        <v>0</v>
      </c>
      <c r="M511" s="139">
        <f>F511*'Darba algas UZŅEMŠANĀ_jaunais'!$BA$41</f>
        <v>0</v>
      </c>
      <c r="N511" s="139"/>
    </row>
    <row r="512" spans="1:14" x14ac:dyDescent="0.25">
      <c r="A512" s="172"/>
      <c r="B512" s="2"/>
      <c r="C512" s="2"/>
      <c r="D512" s="2"/>
      <c r="E512" s="2" t="s">
        <v>72</v>
      </c>
      <c r="F512" s="2">
        <v>2</v>
      </c>
      <c r="G512" s="2">
        <v>0</v>
      </c>
      <c r="H512" s="2">
        <v>0</v>
      </c>
      <c r="I512" s="155">
        <f>F512*'Darba algas UZŅEMŠANĀ_jaunais'!$BD$10</f>
        <v>277943.79910100001</v>
      </c>
      <c r="J512" s="155">
        <f>G512*'Darba algas UZŅEMŠANĀ_jaunais'!$BB$10</f>
        <v>0</v>
      </c>
      <c r="K512" s="155">
        <f>H512*'Darba algas UZŅEMŠANĀ_jaunais'!$BA$10</f>
        <v>0</v>
      </c>
      <c r="M512" s="139">
        <f>F512*'Darba algas UZŅEMŠANĀ_jaunais'!$BA$48</f>
        <v>176595.59000000003</v>
      </c>
      <c r="N512" s="139"/>
    </row>
    <row r="513" spans="1:14" x14ac:dyDescent="0.25">
      <c r="A513" s="172"/>
      <c r="B513" s="2"/>
      <c r="C513" s="2"/>
      <c r="D513" s="2"/>
      <c r="E513" s="2" t="s">
        <v>76</v>
      </c>
      <c r="F513" s="2">
        <v>0</v>
      </c>
      <c r="G513" s="2">
        <v>0</v>
      </c>
      <c r="H513" s="2">
        <v>0</v>
      </c>
      <c r="I513" s="155">
        <f>F513*'Darba algas UZŅEMŠANĀ_jaunais'!$BD$10</f>
        <v>0</v>
      </c>
      <c r="J513" s="155">
        <f>G513*'Darba algas UZŅEMŠANĀ_jaunais'!$BB$10</f>
        <v>0</v>
      </c>
      <c r="K513" s="155">
        <f>H513*'Darba algas UZŅEMŠANĀ_jaunais'!$BA$10</f>
        <v>0</v>
      </c>
      <c r="M513" s="139">
        <f>F513*'Darba algas UZŅEMŠANĀ_jaunais'!$BA$48</f>
        <v>0</v>
      </c>
      <c r="N513" s="139"/>
    </row>
    <row r="514" spans="1:14" x14ac:dyDescent="0.25">
      <c r="A514" s="172"/>
      <c r="B514" s="2"/>
      <c r="C514" s="2"/>
      <c r="D514" s="2"/>
      <c r="E514" s="2" t="s">
        <v>73</v>
      </c>
      <c r="F514" s="2">
        <v>2</v>
      </c>
      <c r="G514" s="2">
        <v>0</v>
      </c>
      <c r="H514" s="2">
        <v>0</v>
      </c>
      <c r="I514" s="155">
        <f>F514*'Darba algas UZŅEMŠANĀ_jaunais'!$BD$11</f>
        <v>184513.72695499999</v>
      </c>
      <c r="J514" s="155">
        <f>ROUND(G514*'Darba algas UZŅEMŠANĀ_jaunais'!$BA$11,0)</f>
        <v>0</v>
      </c>
      <c r="K514" s="155">
        <f>ROUND(H514*'Darba algas UZŅEMŠANĀ_jaunais'!$BB$11,0)</f>
        <v>0</v>
      </c>
      <c r="M514" s="139">
        <f>F514*'Darba algas UZŅEMŠANĀ_jaunais'!$BA$55</f>
        <v>117233.45</v>
      </c>
      <c r="N514" s="139"/>
    </row>
    <row r="515" spans="1:14" ht="12" thickBot="1" x14ac:dyDescent="0.3">
      <c r="A515" s="172"/>
      <c r="B515" s="2"/>
      <c r="C515" s="2"/>
      <c r="D515" s="2"/>
      <c r="E515" s="176" t="s">
        <v>77</v>
      </c>
      <c r="F515" s="176">
        <v>0</v>
      </c>
      <c r="G515" s="176">
        <v>0</v>
      </c>
      <c r="H515" s="176">
        <v>0</v>
      </c>
      <c r="I515" s="155">
        <f>ROUND(F515*'Darba algas UZŅEMŠANĀ_jaunais'!$BE$10,0)</f>
        <v>0</v>
      </c>
      <c r="J515" s="155">
        <f>G515*'Darba algas UZŅEMŠANĀ_jaunais'!$BB$10</f>
        <v>0</v>
      </c>
      <c r="K515" s="155">
        <f>H515*'Darba algas UZŅEMŠANĀ_jaunais'!$BA$10</f>
        <v>0</v>
      </c>
      <c r="M515" s="139">
        <f>F515*'Darba algas UZŅEMŠANĀ_jaunais'!$BA$48</f>
        <v>0</v>
      </c>
      <c r="N515" s="139"/>
    </row>
    <row r="516" spans="1:14" ht="12" thickBot="1" x14ac:dyDescent="0.3">
      <c r="A516" s="2"/>
      <c r="B516" s="2"/>
      <c r="D516" s="173" t="s">
        <v>179</v>
      </c>
      <c r="E516" s="174">
        <f>SUM(F516:H516)</f>
        <v>893963.43565124995</v>
      </c>
      <c r="F516" s="175">
        <f>I499</f>
        <v>837449.36528699996</v>
      </c>
      <c r="G516" s="175">
        <f>J499</f>
        <v>56514.070364250001</v>
      </c>
      <c r="H516" s="175">
        <f>K499</f>
        <v>0</v>
      </c>
      <c r="M516" s="139"/>
      <c r="N516" s="139"/>
    </row>
    <row r="517" spans="1:14" x14ac:dyDescent="0.25">
      <c r="A517" s="184" t="s">
        <v>92</v>
      </c>
      <c r="B517" s="5" t="s">
        <v>60</v>
      </c>
      <c r="C517" s="5" t="s">
        <v>7</v>
      </c>
      <c r="D517" s="187" t="s">
        <v>18</v>
      </c>
      <c r="E517" s="169" t="s">
        <v>80</v>
      </c>
      <c r="F517" s="5">
        <f>SUM(F518:F527,F529)</f>
        <v>8</v>
      </c>
      <c r="G517" s="5">
        <f>SUM(G518:G527,G529)</f>
        <v>5</v>
      </c>
      <c r="H517" s="5">
        <f>SUM(H518:H527,H529)</f>
        <v>5</v>
      </c>
      <c r="I517" s="170">
        <f>SUM(I518:I533)</f>
        <v>3692447.7942635003</v>
      </c>
      <c r="J517" s="170">
        <f t="shared" ref="J517:K517" si="28">SUM(J518:J533)</f>
        <v>461622.55387500004</v>
      </c>
      <c r="K517" s="170">
        <f t="shared" si="28"/>
        <v>97646.747278500014</v>
      </c>
      <c r="L517" s="153">
        <f>SUM(I517:K517)</f>
        <v>4251717.0954170004</v>
      </c>
      <c r="M517" s="139">
        <f>SUM(M518:M533)</f>
        <v>2275616.4650000003</v>
      </c>
      <c r="N517" s="139">
        <f>F517*'Darba algas UZŅEMŠANĀ_jaunais'!BE15</f>
        <v>110855.03999999999</v>
      </c>
    </row>
    <row r="518" spans="1:14" x14ac:dyDescent="0.25">
      <c r="A518" s="2"/>
      <c r="B518" s="2"/>
      <c r="C518" s="2" t="s">
        <v>11</v>
      </c>
      <c r="D518" s="2" t="s">
        <v>10</v>
      </c>
      <c r="E518" s="2" t="s">
        <v>64</v>
      </c>
      <c r="F518" s="2">
        <v>1</v>
      </c>
      <c r="G518" s="2">
        <v>1</v>
      </c>
      <c r="H518" s="2">
        <v>1</v>
      </c>
      <c r="I518" s="155">
        <f>F518*'Darba algas UZŅEMŠANĀ_jaunais'!$BD$8</f>
        <v>236019.93968050004</v>
      </c>
      <c r="J518" s="155">
        <f>G518*'Darba algas UZŅEMŠANĀ_jaunais'!$BB$8</f>
        <v>82058.352937500007</v>
      </c>
      <c r="K518" s="155">
        <f>H518*'Darba algas UZŅEMŠANĀ_jaunais'!$BA$8</f>
        <v>17357.755127250002</v>
      </c>
      <c r="M518" s="139">
        <f>F518*'Darba algas UZŅEMŠANĀ_jaunais'!$BA$41</f>
        <v>141154.49500000002</v>
      </c>
      <c r="N518" s="139"/>
    </row>
    <row r="519" spans="1:14" x14ac:dyDescent="0.25">
      <c r="A519" s="2"/>
      <c r="B519" s="2"/>
      <c r="C519" s="2" t="s">
        <v>21</v>
      </c>
      <c r="D519" s="188" t="s">
        <v>24</v>
      </c>
      <c r="E519" s="2" t="s">
        <v>82</v>
      </c>
      <c r="F519" s="2">
        <v>0</v>
      </c>
      <c r="G519" s="2">
        <v>0</v>
      </c>
      <c r="H519" s="2">
        <v>0</v>
      </c>
      <c r="I519" s="155">
        <f>F519*'Darba algas UZŅEMŠANĀ_jaunais'!$BD$8</f>
        <v>0</v>
      </c>
      <c r="J519" s="155">
        <f>G519*'Darba algas UZŅEMŠANĀ_jaunais'!$BB$8</f>
        <v>0</v>
      </c>
      <c r="K519" s="155">
        <f>H519*'Darba algas UZŅEMŠANĀ_jaunais'!$BA$8</f>
        <v>0</v>
      </c>
      <c r="M519" s="139">
        <f>F519*'Darba algas UZŅEMŠANĀ_jaunais'!$BA$41</f>
        <v>0</v>
      </c>
      <c r="N519" s="139"/>
    </row>
    <row r="520" spans="1:14" x14ac:dyDescent="0.25">
      <c r="A520" s="2"/>
      <c r="B520" s="2"/>
      <c r="C520" s="2" t="s">
        <v>12</v>
      </c>
      <c r="D520" s="188" t="s">
        <v>21</v>
      </c>
      <c r="E520" s="2" t="s">
        <v>65</v>
      </c>
      <c r="F520" s="2">
        <v>1</v>
      </c>
      <c r="G520" s="2">
        <v>1</v>
      </c>
      <c r="H520" s="2">
        <v>1</v>
      </c>
      <c r="I520" s="155">
        <f>F520*'Darba algas UZŅEMŠANĀ_jaunais'!$BD$8</f>
        <v>236019.93968050004</v>
      </c>
      <c r="J520" s="155">
        <f>G520*'Darba algas UZŅEMŠANĀ_jaunais'!$BB$8</f>
        <v>82058.352937500007</v>
      </c>
      <c r="K520" s="155">
        <f>H520*'Darba algas UZŅEMŠANĀ_jaunais'!$BA$8</f>
        <v>17357.755127250002</v>
      </c>
      <c r="M520" s="139">
        <f>F520*'Darba algas UZŅEMŠANĀ_jaunais'!$BA$41</f>
        <v>141154.49500000002</v>
      </c>
      <c r="N520" s="139"/>
    </row>
    <row r="521" spans="1:14" x14ac:dyDescent="0.25">
      <c r="A521" s="2"/>
      <c r="B521" s="2"/>
      <c r="C521" s="3" t="s">
        <v>26</v>
      </c>
      <c r="D521" s="188" t="s">
        <v>25</v>
      </c>
      <c r="E521" s="2" t="s">
        <v>83</v>
      </c>
      <c r="F521" s="2">
        <v>1</v>
      </c>
      <c r="G521" s="2">
        <v>1</v>
      </c>
      <c r="H521" s="2">
        <v>1</v>
      </c>
      <c r="I521" s="155">
        <f>F521*'Darba algas UZŅEMŠANĀ_jaunais'!$BD$8</f>
        <v>236019.93968050004</v>
      </c>
      <c r="J521" s="155">
        <f>G521*'Darba algas UZŅEMŠANĀ_jaunais'!$BB$8</f>
        <v>82058.352937500007</v>
      </c>
      <c r="K521" s="155">
        <f>H521*'Darba algas UZŅEMŠANĀ_jaunais'!$BA$8</f>
        <v>17357.755127250002</v>
      </c>
      <c r="M521" s="139">
        <f>F521*'Darba algas UZŅEMŠANĀ_jaunais'!$BA$41</f>
        <v>141154.49500000002</v>
      </c>
      <c r="N521" s="139"/>
    </row>
    <row r="522" spans="1:14" x14ac:dyDescent="0.25">
      <c r="A522" s="2"/>
      <c r="B522" s="2"/>
      <c r="C522" s="2" t="s">
        <v>13</v>
      </c>
      <c r="D522" s="188" t="s">
        <v>26</v>
      </c>
      <c r="E522" s="2" t="s">
        <v>66</v>
      </c>
      <c r="F522" s="2">
        <v>1</v>
      </c>
      <c r="G522" s="2">
        <v>0</v>
      </c>
      <c r="H522" s="2">
        <v>0</v>
      </c>
      <c r="I522" s="155">
        <f>F522*'Darba algas UZŅEMŠANĀ_jaunais'!$BD$8</f>
        <v>236019.93968050004</v>
      </c>
      <c r="J522" s="155">
        <f>G522*'Darba algas UZŅEMŠANĀ_jaunais'!$BB$8</f>
        <v>0</v>
      </c>
      <c r="K522" s="155">
        <f>H522*'Darba algas UZŅEMŠANĀ_jaunais'!$BA$8</f>
        <v>0</v>
      </c>
      <c r="M522" s="139">
        <f>F522*'Darba algas UZŅEMŠANĀ_jaunais'!$BA$41</f>
        <v>141154.49500000002</v>
      </c>
      <c r="N522" s="139"/>
    </row>
    <row r="523" spans="1:14" x14ac:dyDescent="0.25">
      <c r="A523" s="2"/>
      <c r="B523" s="2"/>
      <c r="C523" s="2" t="s">
        <v>15</v>
      </c>
      <c r="D523" s="188" t="s">
        <v>14</v>
      </c>
      <c r="E523" s="2" t="s">
        <v>67</v>
      </c>
      <c r="F523" s="2">
        <v>1</v>
      </c>
      <c r="G523" s="2">
        <v>0</v>
      </c>
      <c r="H523" s="2">
        <v>0</v>
      </c>
      <c r="I523" s="155">
        <f>F523*'Darba algas UZŅEMŠANĀ_jaunais'!$BD$8</f>
        <v>236019.93968050004</v>
      </c>
      <c r="J523" s="155">
        <f>G523*'Darba algas UZŅEMŠANĀ_jaunais'!$BB$8</f>
        <v>0</v>
      </c>
      <c r="K523" s="155">
        <f>H523*'Darba algas UZŅEMŠANĀ_jaunais'!$BA$8</f>
        <v>0</v>
      </c>
      <c r="M523" s="139">
        <f>F523*'Darba algas UZŅEMŠANĀ_jaunais'!$BA$41</f>
        <v>141154.49500000002</v>
      </c>
      <c r="N523" s="139"/>
    </row>
    <row r="524" spans="1:14" x14ac:dyDescent="0.25">
      <c r="A524" s="2"/>
      <c r="C524" s="2" t="s">
        <v>31</v>
      </c>
      <c r="D524" s="2" t="s">
        <v>15</v>
      </c>
      <c r="E524" s="2" t="s">
        <v>74</v>
      </c>
      <c r="F524" s="2">
        <v>1</v>
      </c>
      <c r="G524" s="2">
        <v>0</v>
      </c>
      <c r="H524" s="2">
        <v>0</v>
      </c>
      <c r="I524" s="155">
        <f>F524*'Darba algas UZŅEMŠANĀ_jaunais'!$BD$8</f>
        <v>236019.93968050004</v>
      </c>
      <c r="J524" s="155">
        <f>G524*'Darba algas UZŅEMŠANĀ_jaunais'!$BB$8</f>
        <v>0</v>
      </c>
      <c r="K524" s="155">
        <f>H524*'Darba algas UZŅEMŠANĀ_jaunais'!$BA$8</f>
        <v>0</v>
      </c>
      <c r="M524" s="139">
        <f>F524*'Darba algas UZŅEMŠANĀ_jaunais'!$BA$41</f>
        <v>141154.49500000002</v>
      </c>
      <c r="N524" s="139"/>
    </row>
    <row r="525" spans="1:14" x14ac:dyDescent="0.25">
      <c r="A525" s="2"/>
      <c r="C525" s="2"/>
      <c r="D525" s="2" t="s">
        <v>31</v>
      </c>
      <c r="E525" s="2" t="s">
        <v>75</v>
      </c>
      <c r="F525" s="2">
        <v>0</v>
      </c>
      <c r="G525" s="2">
        <v>1</v>
      </c>
      <c r="H525" s="2">
        <v>1</v>
      </c>
      <c r="I525" s="155">
        <f>F525*'Darba algas UZŅEMŠANĀ_jaunais'!$BD$8</f>
        <v>0</v>
      </c>
      <c r="J525" s="155">
        <f>G525*'Darba algas UZŅEMŠANĀ_jaunais'!$BB$8</f>
        <v>82058.352937500007</v>
      </c>
      <c r="K525" s="155">
        <f>H525*'Darba algas UZŅEMŠANĀ_jaunais'!$BA$8</f>
        <v>17357.755127250002</v>
      </c>
      <c r="M525" s="139">
        <f>F525*'Darba algas UZŅEMŠANĀ_jaunais'!$BA$41</f>
        <v>0</v>
      </c>
      <c r="N525" s="139"/>
    </row>
    <row r="526" spans="1:14" x14ac:dyDescent="0.25">
      <c r="A526" s="2"/>
      <c r="C526" s="2"/>
      <c r="D526" s="2"/>
      <c r="E526" s="2" t="s">
        <v>69</v>
      </c>
      <c r="F526" s="2">
        <v>1</v>
      </c>
      <c r="G526" s="2">
        <v>1</v>
      </c>
      <c r="H526" s="2">
        <v>1</v>
      </c>
      <c r="I526" s="155">
        <f>F526*'Darba algas UZŅEMŠANĀ_jaunais'!$BD$8</f>
        <v>236019.93968050004</v>
      </c>
      <c r="J526" s="155">
        <f>G526*'Darba algas UZŅEMŠANĀ_jaunais'!$BB$8</f>
        <v>82058.352937500007</v>
      </c>
      <c r="K526" s="155">
        <f>H526*'Darba algas UZŅEMŠANĀ_jaunais'!$BA$8</f>
        <v>17357.755127250002</v>
      </c>
      <c r="M526" s="139">
        <f>F526*'Darba algas UZŅEMŠANĀ_jaunais'!$BA$41</f>
        <v>141154.49500000002</v>
      </c>
      <c r="N526" s="139"/>
    </row>
    <row r="527" spans="1:14" x14ac:dyDescent="0.25">
      <c r="A527" s="2"/>
      <c r="C527" s="2"/>
      <c r="D527" s="2"/>
      <c r="E527" s="2" t="s">
        <v>68</v>
      </c>
      <c r="F527" s="2">
        <v>1</v>
      </c>
      <c r="G527" s="2">
        <v>0</v>
      </c>
      <c r="H527" s="2">
        <v>0</v>
      </c>
      <c r="I527" s="155">
        <f>F527*'Darba algas UZŅEMŠANĀ_jaunais'!$BD$8</f>
        <v>236019.93968050004</v>
      </c>
      <c r="J527" s="155">
        <f>G527*'Darba algas UZŅEMŠANĀ_jaunais'!$BB$8</f>
        <v>0</v>
      </c>
      <c r="K527" s="155">
        <f>H527*'Darba algas UZŅEMŠANĀ_jaunais'!$BA$8</f>
        <v>0</v>
      </c>
      <c r="M527" s="139">
        <f>F527*'Darba algas UZŅEMŠANĀ_jaunais'!$BA$41</f>
        <v>141154.49500000002</v>
      </c>
      <c r="N527" s="139"/>
    </row>
    <row r="528" spans="1:14" x14ac:dyDescent="0.25">
      <c r="A528" s="2"/>
      <c r="C528" s="2"/>
      <c r="D528" s="2"/>
      <c r="E528" s="2" t="s">
        <v>70</v>
      </c>
      <c r="F528" s="2">
        <v>1</v>
      </c>
      <c r="G528" s="2">
        <v>0</v>
      </c>
      <c r="H528" s="2">
        <v>0</v>
      </c>
      <c r="I528" s="155">
        <f>F528*'Darba algas UZŅEMŠANĀ_jaunais'!$BD$10</f>
        <v>138971.89955050001</v>
      </c>
      <c r="J528" s="155">
        <f>G528*'Darba algas UZŅEMŠANĀ_jaunais'!$BB$10</f>
        <v>0</v>
      </c>
      <c r="K528" s="155">
        <f>H528*'Darba algas UZŅEMŠANĀ_jaunais'!$BA$10</f>
        <v>0</v>
      </c>
      <c r="M528" s="139">
        <f>F528*'Darba algas UZŅEMŠANĀ_jaunais'!$BA$48</f>
        <v>88297.795000000013</v>
      </c>
      <c r="N528" s="139"/>
    </row>
    <row r="529" spans="1:14" x14ac:dyDescent="0.25">
      <c r="A529" s="2"/>
      <c r="C529" s="2"/>
      <c r="D529" s="2"/>
      <c r="E529" s="2" t="s">
        <v>87</v>
      </c>
      <c r="F529" s="2">
        <v>0</v>
      </c>
      <c r="G529" s="2">
        <v>0</v>
      </c>
      <c r="H529" s="2">
        <v>0</v>
      </c>
      <c r="I529" s="155">
        <f>F529*'Darba algas UZŅEMŠANĀ_jaunais'!$BD$8</f>
        <v>0</v>
      </c>
      <c r="J529" s="155">
        <f>G529*'Darba algas UZŅEMŠANĀ_jaunais'!$BB$8</f>
        <v>0</v>
      </c>
      <c r="K529" s="155">
        <f>H529*'Darba algas UZŅEMŠANĀ_jaunais'!$BA$8</f>
        <v>0</v>
      </c>
      <c r="M529" s="139">
        <f>F529*'Darba algas UZŅEMŠANĀ_jaunais'!$BA$41</f>
        <v>0</v>
      </c>
      <c r="N529" s="139"/>
    </row>
    <row r="530" spans="1:14" x14ac:dyDescent="0.25">
      <c r="A530" s="2"/>
      <c r="C530" s="2"/>
      <c r="D530" s="2"/>
      <c r="E530" s="2" t="s">
        <v>72</v>
      </c>
      <c r="F530" s="2">
        <v>6</v>
      </c>
      <c r="G530" s="2">
        <v>1</v>
      </c>
      <c r="H530" s="2">
        <v>1</v>
      </c>
      <c r="I530" s="155">
        <f>F530*'Darba algas UZŅEMŠANĀ_jaunais'!$BD$10</f>
        <v>833831.39730300009</v>
      </c>
      <c r="J530" s="155">
        <f>G530*'Darba algas UZŅEMŠANĀ_jaunais'!$BB$10</f>
        <v>51330.789187500006</v>
      </c>
      <c r="K530" s="155">
        <f>H530*'Darba algas UZŅEMŠANĀ_jaunais'!$BA$10</f>
        <v>10857.971642250001</v>
      </c>
      <c r="M530" s="139">
        <f>F530*'Darba algas UZŅEMŠANĀ_jaunais'!$BA$48</f>
        <v>529786.77</v>
      </c>
      <c r="N530" s="139"/>
    </row>
    <row r="531" spans="1:14" x14ac:dyDescent="0.25">
      <c r="A531" s="2"/>
      <c r="C531" s="2"/>
      <c r="D531" s="2"/>
      <c r="E531" s="2" t="s">
        <v>76</v>
      </c>
      <c r="F531" s="2">
        <v>2</v>
      </c>
      <c r="G531" s="2">
        <v>0</v>
      </c>
      <c r="H531" s="2">
        <v>0</v>
      </c>
      <c r="I531" s="155">
        <f>F531*'Darba algas UZŅEMŠANĀ_jaunais'!$BD$10</f>
        <v>277943.79910100001</v>
      </c>
      <c r="J531" s="155">
        <f>G531*'Darba algas UZŅEMŠANĀ_jaunais'!$BB$10</f>
        <v>0</v>
      </c>
      <c r="K531" s="155">
        <f>H531*'Darba algas UZŅEMŠANĀ_jaunais'!$BA$10</f>
        <v>0</v>
      </c>
      <c r="M531" s="139">
        <f>F531*'Darba algas UZŅEMŠANĀ_jaunais'!$BA$48</f>
        <v>176595.59000000003</v>
      </c>
      <c r="N531" s="139"/>
    </row>
    <row r="532" spans="1:14" x14ac:dyDescent="0.25">
      <c r="A532" s="2"/>
      <c r="C532" s="2"/>
      <c r="D532" s="2"/>
      <c r="E532" s="2" t="s">
        <v>73</v>
      </c>
      <c r="F532" s="2">
        <v>6</v>
      </c>
      <c r="G532" s="2">
        <v>0</v>
      </c>
      <c r="H532" s="2">
        <v>0</v>
      </c>
      <c r="I532" s="155">
        <f>F532*'Darba algas UZŅEMŠANĀ_jaunais'!$BD$11</f>
        <v>553541.180865</v>
      </c>
      <c r="J532" s="155">
        <f>ROUND(G532*'Darba algas UZŅEMŠANĀ_jaunais'!$BA$11,0)</f>
        <v>0</v>
      </c>
      <c r="K532" s="155">
        <f>ROUND(H532*'Darba algas UZŅEMŠANĀ_jaunais'!$BB$11,0)</f>
        <v>0</v>
      </c>
      <c r="M532" s="139">
        <f>F532*'Darba algas UZŅEMŠANĀ_jaunais'!$BA$55</f>
        <v>351700.35</v>
      </c>
      <c r="N532" s="139"/>
    </row>
    <row r="533" spans="1:14" ht="12" thickBot="1" x14ac:dyDescent="0.3">
      <c r="A533" s="2"/>
      <c r="C533" s="2"/>
      <c r="D533" s="2"/>
      <c r="E533" s="176" t="s">
        <v>77</v>
      </c>
      <c r="F533" s="176">
        <v>0</v>
      </c>
      <c r="G533" s="176">
        <v>0</v>
      </c>
      <c r="H533" s="176">
        <v>0</v>
      </c>
      <c r="I533" s="155">
        <f>ROUND(F533*'Darba algas UZŅEMŠANĀ_jaunais'!$BE$10,0)</f>
        <v>0</v>
      </c>
      <c r="J533" s="155">
        <f>G533*'Darba algas UZŅEMŠANĀ_jaunais'!$BB$10</f>
        <v>0</v>
      </c>
      <c r="K533" s="155">
        <f>H533*'Darba algas UZŅEMŠANĀ_jaunais'!$BA$10</f>
        <v>0</v>
      </c>
      <c r="M533" s="139">
        <f>F533*'Darba algas UZŅEMŠANĀ_jaunais'!$BA$48</f>
        <v>0</v>
      </c>
      <c r="N533" s="139"/>
    </row>
    <row r="534" spans="1:14" ht="12" thickBot="1" x14ac:dyDescent="0.3">
      <c r="A534" s="2"/>
      <c r="B534" s="2"/>
      <c r="D534" s="173" t="s">
        <v>179</v>
      </c>
      <c r="E534" s="174">
        <f>SUM(F534:H534)</f>
        <v>4251717.0954170004</v>
      </c>
      <c r="F534" s="175">
        <f>I517</f>
        <v>3692447.7942635003</v>
      </c>
      <c r="G534" s="175">
        <f>J517</f>
        <v>461622.55387500004</v>
      </c>
      <c r="H534" s="175">
        <f>K517</f>
        <v>97646.747278500014</v>
      </c>
      <c r="M534" s="139"/>
      <c r="N534" s="139"/>
    </row>
    <row r="535" spans="1:14" x14ac:dyDescent="0.25">
      <c r="A535" s="184" t="s">
        <v>93</v>
      </c>
      <c r="B535" s="5" t="s">
        <v>61</v>
      </c>
      <c r="C535" s="5" t="s">
        <v>7</v>
      </c>
      <c r="D535" s="5" t="s">
        <v>18</v>
      </c>
      <c r="E535" s="169" t="s">
        <v>80</v>
      </c>
      <c r="F535" s="5">
        <f>SUM(F536:F545,F547)</f>
        <v>2</v>
      </c>
      <c r="G535" s="5">
        <f>SUM(G536:G545,G547)</f>
        <v>1</v>
      </c>
      <c r="H535" s="5">
        <f>SUM(H536:H545,H547)</f>
        <v>0</v>
      </c>
      <c r="I535" s="170">
        <f>SUM(I536:I551)</f>
        <v>837449.36528699996</v>
      </c>
      <c r="J535" s="170">
        <f t="shared" ref="J535:K535" si="29">SUM(J536:J551)</f>
        <v>56514.070364250001</v>
      </c>
      <c r="K535" s="170">
        <f t="shared" si="29"/>
        <v>0</v>
      </c>
      <c r="L535" s="153">
        <f>SUM(I535:K535)</f>
        <v>893963.43565124995</v>
      </c>
      <c r="M535" s="139">
        <f>SUM(M536:M551)</f>
        <v>523281.33000000007</v>
      </c>
      <c r="N535" s="139">
        <f>(F535-O535)*'Darba algas UZŅEMŠANĀ_jaunais'!BE15</f>
        <v>27713.759999999998</v>
      </c>
    </row>
    <row r="536" spans="1:14" x14ac:dyDescent="0.25">
      <c r="A536" s="172"/>
      <c r="B536" s="2"/>
      <c r="C536" s="2" t="s">
        <v>10</v>
      </c>
      <c r="D536" s="2" t="s">
        <v>10</v>
      </c>
      <c r="E536" s="2" t="s">
        <v>64</v>
      </c>
      <c r="F536" s="2">
        <v>1</v>
      </c>
      <c r="G536" s="2">
        <v>0</v>
      </c>
      <c r="H536" s="2">
        <v>0</v>
      </c>
      <c r="I536" s="155">
        <f>F536*'Darba algas UZŅEMŠANĀ_jaunais'!$BD$8</f>
        <v>236019.93968050004</v>
      </c>
      <c r="J536" s="155">
        <f>G536*'Darba algas UZŅEMŠANĀ_jaunais'!$BB$8</f>
        <v>0</v>
      </c>
      <c r="K536" s="155">
        <f>H536*'Darba algas UZŅEMŠANĀ_jaunais'!$BA$8</f>
        <v>0</v>
      </c>
      <c r="M536" s="139">
        <f>F536*'Darba algas UZŅEMŠANĀ_jaunais'!$BA$41</f>
        <v>141154.49500000002</v>
      </c>
      <c r="N536" s="139"/>
    </row>
    <row r="537" spans="1:14" x14ac:dyDescent="0.25">
      <c r="A537" s="172"/>
      <c r="B537" s="2"/>
      <c r="C537" s="2"/>
      <c r="D537" s="2"/>
      <c r="E537" s="2" t="s">
        <v>82</v>
      </c>
      <c r="F537" s="2">
        <v>0</v>
      </c>
      <c r="G537" s="2">
        <v>0</v>
      </c>
      <c r="H537" s="2">
        <v>0</v>
      </c>
      <c r="I537" s="155">
        <f>F537*'Darba algas UZŅEMŠANĀ_jaunais'!$BD$8</f>
        <v>0</v>
      </c>
      <c r="J537" s="155">
        <f>G537*'Darba algas UZŅEMŠANĀ_jaunais'!$BB$8</f>
        <v>0</v>
      </c>
      <c r="K537" s="155">
        <f>H537*'Darba algas UZŅEMŠANĀ_jaunais'!$BA$8</f>
        <v>0</v>
      </c>
      <c r="M537" s="139">
        <f>F537*'Darba algas UZŅEMŠANĀ_jaunais'!$BA$41</f>
        <v>0</v>
      </c>
      <c r="N537" s="139"/>
    </row>
    <row r="538" spans="1:14" ht="14.5" x14ac:dyDescent="0.35">
      <c r="A538" s="172"/>
      <c r="B538" s="2"/>
      <c r="C538" s="2"/>
      <c r="D538" s="2"/>
      <c r="E538" s="2" t="s">
        <v>202</v>
      </c>
      <c r="F538" s="197">
        <v>0</v>
      </c>
      <c r="G538" s="2">
        <v>1</v>
      </c>
      <c r="H538" s="2">
        <v>0</v>
      </c>
      <c r="I538" s="155">
        <f>F538*'Darba algas UZŅEMŠANĀ_jaunais'!$BD$8</f>
        <v>0</v>
      </c>
      <c r="J538" s="155">
        <f>G538*'Darba algas UZŅEMŠANĀ_jaunais'!$BC$8</f>
        <v>56514.070364250001</v>
      </c>
      <c r="K538" s="155">
        <f>H538*'Darba algas UZŅEMŠANĀ_jaunais'!$BA$8</f>
        <v>0</v>
      </c>
      <c r="M538" s="141">
        <f>F538*'Darba algas UZŅEMŠANĀ_jaunais'!$BA$41</f>
        <v>0</v>
      </c>
      <c r="N538" s="139"/>
    </row>
    <row r="539" spans="1:14" x14ac:dyDescent="0.25">
      <c r="A539" s="172"/>
      <c r="B539" s="2"/>
      <c r="C539" s="2"/>
      <c r="D539" s="2"/>
      <c r="E539" s="2" t="s">
        <v>83</v>
      </c>
      <c r="F539" s="2">
        <v>0</v>
      </c>
      <c r="G539" s="2">
        <v>0</v>
      </c>
      <c r="H539" s="2">
        <v>0</v>
      </c>
      <c r="I539" s="155">
        <f>F539*'Darba algas UZŅEMŠANĀ_jaunais'!$BD$8</f>
        <v>0</v>
      </c>
      <c r="J539" s="155">
        <f>G539*'Darba algas UZŅEMŠANĀ_jaunais'!$BB$8</f>
        <v>0</v>
      </c>
      <c r="K539" s="155">
        <f>H539*'Darba algas UZŅEMŠANĀ_jaunais'!$BA$8</f>
        <v>0</v>
      </c>
      <c r="M539" s="139">
        <f>F539*'Darba algas UZŅEMŠANĀ_jaunais'!$BA$41</f>
        <v>0</v>
      </c>
      <c r="N539" s="139"/>
    </row>
    <row r="540" spans="1:14" x14ac:dyDescent="0.25">
      <c r="A540" s="172"/>
      <c r="B540" s="2"/>
      <c r="C540" s="2"/>
      <c r="D540" s="2"/>
      <c r="E540" s="2" t="s">
        <v>66</v>
      </c>
      <c r="F540" s="2">
        <v>0</v>
      </c>
      <c r="G540" s="2">
        <v>0</v>
      </c>
      <c r="H540" s="2">
        <v>0</v>
      </c>
      <c r="I540" s="155">
        <f>F540*'Darba algas UZŅEMŠANĀ_jaunais'!$BD$8</f>
        <v>0</v>
      </c>
      <c r="J540" s="155">
        <f>G540*'Darba algas UZŅEMŠANĀ_jaunais'!$BB$8</f>
        <v>0</v>
      </c>
      <c r="K540" s="155">
        <f>H540*'Darba algas UZŅEMŠANĀ_jaunais'!$BA$8</f>
        <v>0</v>
      </c>
      <c r="M540" s="139">
        <f>F540*'Darba algas UZŅEMŠANĀ_jaunais'!$BA$41</f>
        <v>0</v>
      </c>
      <c r="N540" s="139"/>
    </row>
    <row r="541" spans="1:14" x14ac:dyDescent="0.25">
      <c r="A541" s="172"/>
      <c r="B541" s="2"/>
      <c r="C541" s="2"/>
      <c r="D541" s="2"/>
      <c r="E541" s="2" t="s">
        <v>67</v>
      </c>
      <c r="F541" s="2">
        <v>0</v>
      </c>
      <c r="G541" s="2">
        <v>0</v>
      </c>
      <c r="H541" s="2">
        <v>0</v>
      </c>
      <c r="I541" s="155">
        <f>F541*'Darba algas UZŅEMŠANĀ_jaunais'!$BD$8</f>
        <v>0</v>
      </c>
      <c r="J541" s="155">
        <f>G541*'Darba algas UZŅEMŠANĀ_jaunais'!$BB$8</f>
        <v>0</v>
      </c>
      <c r="K541" s="155">
        <f>H541*'Darba algas UZŅEMŠANĀ_jaunais'!$BA$8</f>
        <v>0</v>
      </c>
      <c r="M541" s="139">
        <f>F541*'Darba algas UZŅEMŠANĀ_jaunais'!$BA$41</f>
        <v>0</v>
      </c>
      <c r="N541" s="139"/>
    </row>
    <row r="542" spans="1:14" x14ac:dyDescent="0.25">
      <c r="A542" s="172"/>
      <c r="B542" s="2"/>
      <c r="C542" s="2"/>
      <c r="D542" s="2"/>
      <c r="E542" s="2" t="s">
        <v>74</v>
      </c>
      <c r="F542" s="2">
        <v>0</v>
      </c>
      <c r="G542" s="2">
        <v>0</v>
      </c>
      <c r="H542" s="2">
        <v>0</v>
      </c>
      <c r="I542" s="155">
        <f>F542*'Darba algas UZŅEMŠANĀ_jaunais'!$BD$8</f>
        <v>0</v>
      </c>
      <c r="J542" s="155">
        <f>G542*'Darba algas UZŅEMŠANĀ_jaunais'!$BB$8</f>
        <v>0</v>
      </c>
      <c r="K542" s="155">
        <f>H542*'Darba algas UZŅEMŠANĀ_jaunais'!$BA$8</f>
        <v>0</v>
      </c>
      <c r="M542" s="139">
        <f>F542*'Darba algas UZŅEMŠANĀ_jaunais'!$BA$41</f>
        <v>0</v>
      </c>
      <c r="N542" s="139"/>
    </row>
    <row r="543" spans="1:14" x14ac:dyDescent="0.25">
      <c r="A543" s="172"/>
      <c r="B543" s="2"/>
      <c r="C543" s="2"/>
      <c r="D543" s="2"/>
      <c r="E543" s="2" t="s">
        <v>75</v>
      </c>
      <c r="F543" s="2">
        <v>0</v>
      </c>
      <c r="G543" s="2">
        <v>0</v>
      </c>
      <c r="H543" s="2">
        <v>0</v>
      </c>
      <c r="I543" s="155">
        <f>F543*'Darba algas UZŅEMŠANĀ_jaunais'!$BD$8</f>
        <v>0</v>
      </c>
      <c r="J543" s="155">
        <f>G543*'Darba algas UZŅEMŠANĀ_jaunais'!$BB$8</f>
        <v>0</v>
      </c>
      <c r="K543" s="155">
        <f>H543*'Darba algas UZŅEMŠANĀ_jaunais'!$BA$8</f>
        <v>0</v>
      </c>
      <c r="M543" s="139">
        <f>F543*'Darba algas UZŅEMŠANĀ_jaunais'!$BA$41</f>
        <v>0</v>
      </c>
      <c r="N543" s="139"/>
    </row>
    <row r="544" spans="1:14" x14ac:dyDescent="0.25">
      <c r="A544" s="172"/>
      <c r="B544" s="2"/>
      <c r="C544" s="2"/>
      <c r="D544" s="2"/>
      <c r="E544" s="2" t="s">
        <v>69</v>
      </c>
      <c r="F544" s="2">
        <v>0</v>
      </c>
      <c r="G544" s="2">
        <v>0</v>
      </c>
      <c r="H544" s="2">
        <v>0</v>
      </c>
      <c r="I544" s="155">
        <f>F544*'Darba algas UZŅEMŠANĀ_jaunais'!$BD$8</f>
        <v>0</v>
      </c>
      <c r="J544" s="155">
        <f>G544*'Darba algas UZŅEMŠANĀ_jaunais'!$BB$8</f>
        <v>0</v>
      </c>
      <c r="K544" s="155">
        <f>H544*'Darba algas UZŅEMŠANĀ_jaunais'!$BA$8</f>
        <v>0</v>
      </c>
      <c r="M544" s="139">
        <f>F544*'Darba algas UZŅEMŠANĀ_jaunais'!$BA$41</f>
        <v>0</v>
      </c>
      <c r="N544" s="139"/>
    </row>
    <row r="545" spans="1:14" ht="14.5" x14ac:dyDescent="0.35">
      <c r="A545" s="172"/>
      <c r="B545" s="2"/>
      <c r="C545" s="2"/>
      <c r="D545" s="2"/>
      <c r="E545" s="2" t="s">
        <v>207</v>
      </c>
      <c r="F545" s="197">
        <v>1</v>
      </c>
      <c r="G545" s="2">
        <v>0</v>
      </c>
      <c r="H545" s="2">
        <v>0</v>
      </c>
      <c r="I545" s="374">
        <v>0</v>
      </c>
      <c r="J545" s="155">
        <f>G545*'Darba algas UZŅEMŠANĀ_jaunais'!$BB$8</f>
        <v>0</v>
      </c>
      <c r="K545" s="155">
        <f>H545*'Darba algas UZŅEMŠANĀ_jaunais'!$BA$8</f>
        <v>0</v>
      </c>
      <c r="M545" s="141">
        <v>0</v>
      </c>
      <c r="N545" s="139"/>
    </row>
    <row r="546" spans="1:14" x14ac:dyDescent="0.25">
      <c r="A546" s="172"/>
      <c r="B546" s="2"/>
      <c r="C546" s="2"/>
      <c r="D546" s="2"/>
      <c r="E546" s="2" t="s">
        <v>70</v>
      </c>
      <c r="F546" s="2">
        <v>1</v>
      </c>
      <c r="G546" s="2">
        <v>0</v>
      </c>
      <c r="H546" s="2">
        <v>0</v>
      </c>
      <c r="I546" s="155">
        <f>F546*'Darba algas UZŅEMŠANĀ_jaunais'!$BD$10</f>
        <v>138971.89955050001</v>
      </c>
      <c r="J546" s="155">
        <f>G546*'Darba algas UZŅEMŠANĀ_jaunais'!$BB$10</f>
        <v>0</v>
      </c>
      <c r="K546" s="155">
        <f>H546*'Darba algas UZŅEMŠANĀ_jaunais'!$BA$10</f>
        <v>0</v>
      </c>
      <c r="M546" s="139">
        <f>F546*'Darba algas UZŅEMŠANĀ_jaunais'!$BA$48</f>
        <v>88297.795000000013</v>
      </c>
      <c r="N546" s="139"/>
    </row>
    <row r="547" spans="1:14" x14ac:dyDescent="0.25">
      <c r="A547" s="172"/>
      <c r="B547" s="2"/>
      <c r="C547" s="2"/>
      <c r="D547" s="2"/>
      <c r="E547" s="2" t="s">
        <v>71</v>
      </c>
      <c r="F547" s="2">
        <v>0</v>
      </c>
      <c r="G547" s="2">
        <v>0</v>
      </c>
      <c r="H547" s="2">
        <v>0</v>
      </c>
      <c r="I547" s="155">
        <f>F547*'Darba algas UZŅEMŠANĀ_jaunais'!$BD$8</f>
        <v>0</v>
      </c>
      <c r="J547" s="155">
        <f>G547*'Darba algas UZŅEMŠANĀ_jaunais'!$BB$8</f>
        <v>0</v>
      </c>
      <c r="K547" s="155">
        <f>H547*'Darba algas UZŅEMŠANĀ_jaunais'!$BA$8</f>
        <v>0</v>
      </c>
      <c r="M547" s="139">
        <f>F547*'Darba algas UZŅEMŠANĀ_jaunais'!$BA$41</f>
        <v>0</v>
      </c>
      <c r="N547" s="139"/>
    </row>
    <row r="548" spans="1:14" x14ac:dyDescent="0.25">
      <c r="A548" s="172"/>
      <c r="B548" s="2"/>
      <c r="C548" s="2"/>
      <c r="D548" s="2"/>
      <c r="E548" s="2" t="s">
        <v>72</v>
      </c>
      <c r="F548" s="2">
        <v>2</v>
      </c>
      <c r="G548" s="2">
        <v>0</v>
      </c>
      <c r="H548" s="2">
        <v>0</v>
      </c>
      <c r="I548" s="155">
        <f>F548*'Darba algas UZŅEMŠANĀ_jaunais'!$BD$10</f>
        <v>277943.79910100001</v>
      </c>
      <c r="J548" s="155">
        <f>G548*'Darba algas UZŅEMŠANĀ_jaunais'!$BB$10</f>
        <v>0</v>
      </c>
      <c r="K548" s="155">
        <f>H548*'Darba algas UZŅEMŠANĀ_jaunais'!$BA$10</f>
        <v>0</v>
      </c>
      <c r="M548" s="139">
        <f>F548*'Darba algas UZŅEMŠANĀ_jaunais'!$BA$48</f>
        <v>176595.59000000003</v>
      </c>
      <c r="N548" s="139"/>
    </row>
    <row r="549" spans="1:14" x14ac:dyDescent="0.25">
      <c r="A549" s="172"/>
      <c r="B549" s="2"/>
      <c r="C549" s="2"/>
      <c r="D549" s="2"/>
      <c r="E549" s="2" t="s">
        <v>76</v>
      </c>
      <c r="F549" s="2">
        <v>0</v>
      </c>
      <c r="G549" s="2">
        <v>0</v>
      </c>
      <c r="H549" s="2">
        <v>0</v>
      </c>
      <c r="I549" s="155">
        <f>F549*'Darba algas UZŅEMŠANĀ_jaunais'!$BD$10</f>
        <v>0</v>
      </c>
      <c r="J549" s="155">
        <f>G549*'Darba algas UZŅEMŠANĀ_jaunais'!$BB$10</f>
        <v>0</v>
      </c>
      <c r="K549" s="155">
        <f>H549*'Darba algas UZŅEMŠANĀ_jaunais'!$BA$10</f>
        <v>0</v>
      </c>
      <c r="M549" s="139">
        <f>F549*'Darba algas UZŅEMŠANĀ_jaunais'!$BA$48</f>
        <v>0</v>
      </c>
      <c r="N549" s="139"/>
    </row>
    <row r="550" spans="1:14" x14ac:dyDescent="0.25">
      <c r="A550" s="172"/>
      <c r="B550" s="2"/>
      <c r="C550" s="2"/>
      <c r="D550" s="2"/>
      <c r="E550" s="2" t="s">
        <v>73</v>
      </c>
      <c r="F550" s="2">
        <v>2</v>
      </c>
      <c r="G550" s="2">
        <v>0</v>
      </c>
      <c r="H550" s="2">
        <v>0</v>
      </c>
      <c r="I550" s="155">
        <f>F550*'Darba algas UZŅEMŠANĀ_jaunais'!$BD$11</f>
        <v>184513.72695499999</v>
      </c>
      <c r="J550" s="155">
        <f>ROUND(G550*'Darba algas UZŅEMŠANĀ_jaunais'!$BA$11,0)</f>
        <v>0</v>
      </c>
      <c r="K550" s="155">
        <f>ROUND(H550*'Darba algas UZŅEMŠANĀ_jaunais'!$BB$11,0)</f>
        <v>0</v>
      </c>
      <c r="M550" s="139">
        <f>F550*'Darba algas UZŅEMŠANĀ_jaunais'!$BA$55</f>
        <v>117233.45</v>
      </c>
      <c r="N550" s="139"/>
    </row>
    <row r="551" spans="1:14" ht="12" thickBot="1" x14ac:dyDescent="0.3">
      <c r="A551" s="178"/>
      <c r="B551" s="176"/>
      <c r="C551" s="176"/>
      <c r="D551" s="176"/>
      <c r="E551" s="176" t="s">
        <v>77</v>
      </c>
      <c r="F551" s="176">
        <v>0</v>
      </c>
      <c r="G551" s="176">
        <v>0</v>
      </c>
      <c r="H551" s="176">
        <v>0</v>
      </c>
      <c r="I551" s="155">
        <f>ROUND(F551*'Darba algas UZŅEMŠANĀ_jaunais'!$BE$10,0)</f>
        <v>0</v>
      </c>
      <c r="J551" s="155">
        <f>G551*'Darba algas UZŅEMŠANĀ_jaunais'!$BB$10</f>
        <v>0</v>
      </c>
      <c r="K551" s="155">
        <f>H551*'Darba algas UZŅEMŠANĀ_jaunais'!$BA$10</f>
        <v>0</v>
      </c>
      <c r="M551" s="139">
        <f>F551*'Darba algas UZŅEMŠANĀ_jaunais'!$BA$48</f>
        <v>0</v>
      </c>
      <c r="N551" s="139"/>
    </row>
    <row r="552" spans="1:14" ht="12" thickBot="1" x14ac:dyDescent="0.3">
      <c r="A552" s="2"/>
      <c r="B552" s="2"/>
      <c r="D552" s="173" t="s">
        <v>179</v>
      </c>
      <c r="E552" s="174">
        <f>SUM(F552:H552)</f>
        <v>893963.43565124995</v>
      </c>
      <c r="F552" s="175">
        <f>I535</f>
        <v>837449.36528699996</v>
      </c>
      <c r="G552" s="175">
        <f>J535</f>
        <v>56514.070364250001</v>
      </c>
      <c r="H552" s="175">
        <f>K535</f>
        <v>0</v>
      </c>
    </row>
    <row r="553" spans="1:14" ht="12" x14ac:dyDescent="0.3">
      <c r="A553" s="199" t="s">
        <v>62</v>
      </c>
    </row>
    <row r="555" spans="1:14" x14ac:dyDescent="0.25">
      <c r="E555" s="155">
        <f>E552+E534+E516+E498+E480+E461+E443+E425+E407+E389+E371+E352+E334+E316+E298+E280+E262+E244+E225+E207+E184+E166+E147+E129+E111+E93+E75+E57+E39+E22</f>
        <v>131566615.40818295</v>
      </c>
      <c r="F555" s="155">
        <f t="shared" ref="F555:H555" si="30">F552+F534+F516+F498+F480+F461+F443+F425+F407+F389+F371+F352+F334+F316+F298+F280+F262+F244+F225+F207+F184+F166+F147+F129+F111+F93+F75+F57+F39+F22</f>
        <v>109474438.32805443</v>
      </c>
      <c r="G555" s="155">
        <f t="shared" si="30"/>
        <v>18470904.116129253</v>
      </c>
      <c r="H555" s="155">
        <f t="shared" si="30"/>
        <v>3621272.96399925</v>
      </c>
      <c r="I555" s="155">
        <f>G555+H555</f>
        <v>22092177.080128502</v>
      </c>
    </row>
  </sheetData>
  <mergeCells count="10">
    <mergeCell ref="I6:I8"/>
    <mergeCell ref="L6:L8"/>
    <mergeCell ref="K6:K8"/>
    <mergeCell ref="J6:J8"/>
    <mergeCell ref="A462:D462"/>
    <mergeCell ref="E6:F6"/>
    <mergeCell ref="A8:D8"/>
    <mergeCell ref="A148:D148"/>
    <mergeCell ref="A226:D226"/>
    <mergeCell ref="A353:D353"/>
  </mergeCells>
  <pageMargins left="0.7" right="0.7" top="0.75" bottom="0.75" header="0.3" footer="0.3"/>
  <pageSetup paperSize="9" scale="3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7E3C6-C11F-4A9A-9E0D-DC5D64FC9C4F}">
  <dimension ref="A1:CR118"/>
  <sheetViews>
    <sheetView view="pageBreakPreview" zoomScale="60" zoomScaleNormal="75" workbookViewId="0">
      <selection sqref="A1:CJ1048576"/>
    </sheetView>
  </sheetViews>
  <sheetFormatPr defaultColWidth="9.26953125" defaultRowHeight="18" outlineLevelCol="1" x14ac:dyDescent="0.4"/>
  <cols>
    <col min="1" max="1" width="20" style="200" customWidth="1"/>
    <col min="2" max="2" width="33.7265625" style="201" customWidth="1"/>
    <col min="3" max="3" width="16.7265625" style="202" customWidth="1"/>
    <col min="4" max="4" width="14.26953125" style="201" customWidth="1"/>
    <col min="5" max="5" width="18.7265625" style="201" customWidth="1"/>
    <col min="6" max="6" width="11.54296875" style="201" customWidth="1"/>
    <col min="7" max="7" width="11.453125" style="201" customWidth="1"/>
    <col min="8" max="8" width="5" style="201" hidden="1" customWidth="1" outlineLevel="1"/>
    <col min="9" max="9" width="5.54296875" style="201" hidden="1" customWidth="1" outlineLevel="1"/>
    <col min="10" max="10" width="7.54296875" style="201" hidden="1" customWidth="1" outlineLevel="1"/>
    <col min="11" max="11" width="7" style="201" hidden="1" customWidth="1" outlineLevel="1"/>
    <col min="12" max="12" width="5" style="201" hidden="1" customWidth="1" outlineLevel="1"/>
    <col min="13" max="13" width="5.81640625" style="201" hidden="1" customWidth="1" outlineLevel="1"/>
    <col min="14" max="14" width="6.7265625" style="201" hidden="1" customWidth="1" outlineLevel="1"/>
    <col min="15" max="15" width="8.81640625" style="201" hidden="1" customWidth="1" outlineLevel="1"/>
    <col min="16" max="16" width="5" style="201" hidden="1" customWidth="1" outlineLevel="1"/>
    <col min="17" max="17" width="7" style="201" hidden="1" customWidth="1" outlineLevel="1"/>
    <col min="18" max="18" width="7.1796875" style="201" hidden="1" customWidth="1" outlineLevel="1"/>
    <col min="19" max="19" width="8.1796875" style="201" hidden="1" customWidth="1" outlineLevel="1"/>
    <col min="20" max="20" width="5" style="201" hidden="1" customWidth="1" outlineLevel="1"/>
    <col min="21" max="21" width="6.26953125" style="201" hidden="1" customWidth="1" outlineLevel="1"/>
    <col min="22" max="22" width="6.7265625" style="201" hidden="1" customWidth="1" outlineLevel="1"/>
    <col min="23" max="23" width="6.26953125" style="201" hidden="1" customWidth="1" outlineLevel="1"/>
    <col min="24" max="24" width="5" style="201" hidden="1" customWidth="1" outlineLevel="1"/>
    <col min="25" max="25" width="5.453125" style="201" hidden="1" customWidth="1" outlineLevel="1"/>
    <col min="26" max="27" width="7.1796875" style="201" hidden="1" customWidth="1" outlineLevel="1"/>
    <col min="28" max="28" width="5" style="201" hidden="1" customWidth="1" outlineLevel="1"/>
    <col min="29" max="29" width="5.81640625" style="201" hidden="1" customWidth="1" outlineLevel="1"/>
    <col min="30" max="30" width="6.81640625" style="201" hidden="1" customWidth="1" outlineLevel="1"/>
    <col min="31" max="31" width="6.453125" style="201" hidden="1" customWidth="1" outlineLevel="1"/>
    <col min="32" max="32" width="5" style="201" hidden="1" customWidth="1" outlineLevel="1"/>
    <col min="33" max="33" width="6.1796875" style="201" hidden="1" customWidth="1" outlineLevel="1"/>
    <col min="34" max="34" width="6.7265625" style="201" hidden="1" customWidth="1" outlineLevel="1"/>
    <col min="35" max="35" width="7.1796875" style="201" hidden="1" customWidth="1" outlineLevel="1"/>
    <col min="36" max="36" width="11.81640625" style="201" hidden="1" customWidth="1" outlineLevel="1"/>
    <col min="37" max="37" width="6.54296875" style="201" hidden="1" customWidth="1" outlineLevel="1"/>
    <col min="38" max="38" width="7.81640625" style="201" hidden="1" customWidth="1" outlineLevel="1"/>
    <col min="39" max="39" width="7.54296875" style="201" hidden="1" customWidth="1" outlineLevel="1"/>
    <col min="40" max="40" width="6.453125" style="201" customWidth="1" collapsed="1"/>
    <col min="41" max="41" width="24.54296875" style="201" customWidth="1"/>
    <col min="42" max="42" width="14.7265625" style="201" customWidth="1"/>
    <col min="43" max="43" width="14.54296875" style="201" customWidth="1"/>
    <col min="44" max="44" width="16" style="201" customWidth="1"/>
    <col min="45" max="45" width="15.7265625" style="201" customWidth="1"/>
    <col min="46" max="46" width="12" style="201" customWidth="1"/>
    <col min="47" max="47" width="14" style="201" customWidth="1"/>
    <col min="48" max="48" width="9.1796875" style="201" bestFit="1" customWidth="1"/>
    <col min="49" max="50" width="13.1796875" style="201" bestFit="1" customWidth="1"/>
    <col min="51" max="51" width="12.1796875" style="201" customWidth="1"/>
    <col min="52" max="52" width="26.81640625" style="201" customWidth="1"/>
    <col min="53" max="53" width="31.81640625" style="225" customWidth="1"/>
    <col min="54" max="54" width="21.54296875" style="201" customWidth="1"/>
    <col min="55" max="55" width="28.453125" style="201" customWidth="1"/>
    <col min="56" max="56" width="24.453125" style="201" customWidth="1"/>
    <col min="57" max="57" width="28.26953125" style="201" customWidth="1"/>
    <col min="58" max="88" width="9.26953125" style="201"/>
    <col min="89" max="16384" width="9.26953125" style="10"/>
  </cols>
  <sheetData>
    <row r="1" spans="1:96" x14ac:dyDescent="0.4">
      <c r="BE1" s="201" t="s">
        <v>323</v>
      </c>
    </row>
    <row r="2" spans="1:96" ht="29.5" x14ac:dyDescent="0.4">
      <c r="AZ2" s="203" t="str">
        <f>B14</f>
        <v>KUS UN TOS, RDzN</v>
      </c>
      <c r="BA2" s="204" t="s">
        <v>174</v>
      </c>
      <c r="BB2" s="204" t="s">
        <v>175</v>
      </c>
      <c r="BC2" s="204" t="s">
        <v>96</v>
      </c>
      <c r="BD2" s="204" t="s">
        <v>206</v>
      </c>
      <c r="BE2" s="205"/>
    </row>
    <row r="3" spans="1:96" x14ac:dyDescent="0.4">
      <c r="AZ3" s="206" t="s">
        <v>97</v>
      </c>
      <c r="BA3" s="207">
        <f>BB16</f>
        <v>22565.081665424997</v>
      </c>
      <c r="BB3" s="208">
        <f>BB17</f>
        <v>106675.85881875</v>
      </c>
      <c r="BC3" s="208">
        <f>BB18</f>
        <v>73468.291473525009</v>
      </c>
      <c r="BD3" s="209">
        <f>BB19</f>
        <v>302668.85758465005</v>
      </c>
      <c r="BE3" s="208"/>
    </row>
    <row r="4" spans="1:96" x14ac:dyDescent="0.4">
      <c r="AZ4" s="210" t="s">
        <v>98</v>
      </c>
      <c r="BA4" s="211"/>
      <c r="BB4" s="212"/>
      <c r="BC4" s="213"/>
      <c r="BD4" s="208">
        <f>BB20</f>
        <v>170232.70799790937</v>
      </c>
      <c r="BE4" s="212"/>
    </row>
    <row r="5" spans="1:96" ht="31.5" x14ac:dyDescent="0.4">
      <c r="AZ5" s="214" t="s">
        <v>99</v>
      </c>
      <c r="BA5" s="215">
        <f>BB23</f>
        <v>14115.363134925003</v>
      </c>
      <c r="BB5" s="216">
        <f>BB24</f>
        <v>66730.025943750006</v>
      </c>
      <c r="BC5" s="208">
        <f>BB25</f>
        <v>45957.361397025001</v>
      </c>
      <c r="BD5" s="209">
        <f>BB26</f>
        <v>180663.46941565003</v>
      </c>
      <c r="BE5" s="208"/>
    </row>
    <row r="6" spans="1:96" ht="20.5" x14ac:dyDescent="0.45">
      <c r="AZ6" s="217" t="s">
        <v>73</v>
      </c>
      <c r="BA6" s="215">
        <f>BB30</f>
        <v>7208.0932237500001</v>
      </c>
      <c r="BB6" s="216">
        <f>BB31</f>
        <v>34076.080312500002</v>
      </c>
      <c r="BC6" s="208">
        <f>BB32</f>
        <v>23468.39695875</v>
      </c>
      <c r="BD6" s="209">
        <f>BB33</f>
        <v>92256.863477499995</v>
      </c>
      <c r="BE6" s="208"/>
      <c r="BF6" s="218" t="s">
        <v>208</v>
      </c>
    </row>
    <row r="7" spans="1:96" ht="29.5" x14ac:dyDescent="0.4">
      <c r="AZ7" s="203" t="str">
        <f>B36</f>
        <v>PĀRĒJIE</v>
      </c>
      <c r="BA7" s="204" t="s">
        <v>174</v>
      </c>
      <c r="BB7" s="204" t="s">
        <v>175</v>
      </c>
      <c r="BC7" s="204" t="s">
        <v>96</v>
      </c>
      <c r="BD7" s="204" t="s">
        <v>100</v>
      </c>
      <c r="BE7" s="205"/>
    </row>
    <row r="8" spans="1:96" x14ac:dyDescent="0.4">
      <c r="AZ8" s="206" t="s">
        <v>97</v>
      </c>
      <c r="BA8" s="207">
        <f>BB38</f>
        <v>17357.755127250002</v>
      </c>
      <c r="BB8" s="208">
        <f>BB39</f>
        <v>82058.352937500007</v>
      </c>
      <c r="BC8" s="208">
        <f>BB40</f>
        <v>56514.070364250001</v>
      </c>
      <c r="BD8" s="209">
        <f>BB41</f>
        <v>236019.93968050004</v>
      </c>
      <c r="BE8" s="208"/>
    </row>
    <row r="9" spans="1:96" x14ac:dyDescent="0.4">
      <c r="AZ9" s="219" t="s">
        <v>98</v>
      </c>
      <c r="BA9" s="220"/>
      <c r="BB9" s="221"/>
      <c r="BC9" s="213"/>
      <c r="BD9" s="208">
        <f>BB42</f>
        <v>128312.71570359374</v>
      </c>
      <c r="BE9" s="212"/>
    </row>
    <row r="10" spans="1:96" ht="31.5" x14ac:dyDescent="0.4">
      <c r="AZ10" s="214" t="s">
        <v>99</v>
      </c>
      <c r="BA10" s="207">
        <f>BB45</f>
        <v>10857.971642250001</v>
      </c>
      <c r="BB10" s="208">
        <f>BB46</f>
        <v>51330.789187500006</v>
      </c>
      <c r="BC10" s="222">
        <f>BB47</f>
        <v>35351.816459250003</v>
      </c>
      <c r="BD10" s="209">
        <f>BB48</f>
        <v>138971.89955050001</v>
      </c>
      <c r="BE10" s="208"/>
    </row>
    <row r="11" spans="1:96" x14ac:dyDescent="0.4">
      <c r="AZ11" s="217" t="s">
        <v>73</v>
      </c>
      <c r="BA11" s="215">
        <f>BB52</f>
        <v>7208.0932237500001</v>
      </c>
      <c r="BB11" s="216">
        <f>BB53</f>
        <v>34076.080312500002</v>
      </c>
      <c r="BC11" s="208">
        <f>BB54</f>
        <v>23468.39695875</v>
      </c>
      <c r="BD11" s="209">
        <f>BB55</f>
        <v>92256.863477499995</v>
      </c>
      <c r="BE11" s="208"/>
    </row>
    <row r="12" spans="1:96" ht="22.5" x14ac:dyDescent="0.45">
      <c r="B12" s="223" t="s">
        <v>101</v>
      </c>
      <c r="C12" s="224"/>
      <c r="D12" s="223"/>
      <c r="E12" s="223"/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3"/>
      <c r="AV12" s="201" t="s">
        <v>102</v>
      </c>
      <c r="BC12" s="226" t="s">
        <v>203</v>
      </c>
      <c r="BD12" s="202">
        <v>2083</v>
      </c>
    </row>
    <row r="13" spans="1:96" ht="30.5" thickBot="1" x14ac:dyDescent="0.45">
      <c r="AH13" s="201">
        <f>365*8+(15*8)</f>
        <v>3040</v>
      </c>
      <c r="AV13" s="227">
        <v>1.3</v>
      </c>
      <c r="AW13" s="225"/>
      <c r="AX13" s="228">
        <v>0.5</v>
      </c>
      <c r="AY13" s="228">
        <v>1</v>
      </c>
      <c r="AZ13" s="228">
        <v>2.5000000000000001E-2</v>
      </c>
      <c r="BC13" s="226" t="s">
        <v>204</v>
      </c>
      <c r="BD13" s="202">
        <v>1303</v>
      </c>
    </row>
    <row r="14" spans="1:96" s="11" customFormat="1" ht="51.5" thickBot="1" x14ac:dyDescent="0.4">
      <c r="A14" s="229"/>
      <c r="B14" s="230" t="s">
        <v>103</v>
      </c>
      <c r="C14" s="231"/>
      <c r="D14" s="232"/>
      <c r="E14" s="232"/>
      <c r="F14" s="232"/>
      <c r="G14" s="233"/>
      <c r="H14" s="234" t="s">
        <v>104</v>
      </c>
      <c r="I14" s="235"/>
      <c r="J14" s="235"/>
      <c r="K14" s="235"/>
      <c r="L14" s="235" t="s">
        <v>105</v>
      </c>
      <c r="M14" s="235"/>
      <c r="N14" s="235"/>
      <c r="O14" s="235"/>
      <c r="P14" s="235" t="s">
        <v>106</v>
      </c>
      <c r="Q14" s="235"/>
      <c r="R14" s="235"/>
      <c r="S14" s="235"/>
      <c r="T14" s="235" t="s">
        <v>107</v>
      </c>
      <c r="U14" s="235"/>
      <c r="V14" s="235"/>
      <c r="W14" s="235"/>
      <c r="X14" s="235" t="s">
        <v>108</v>
      </c>
      <c r="Y14" s="235"/>
      <c r="Z14" s="235"/>
      <c r="AA14" s="235"/>
      <c r="AB14" s="236" t="s">
        <v>109</v>
      </c>
      <c r="AC14" s="236"/>
      <c r="AD14" s="236"/>
      <c r="AE14" s="236"/>
      <c r="AF14" s="236" t="s">
        <v>110</v>
      </c>
      <c r="AG14" s="236"/>
      <c r="AH14" s="236"/>
      <c r="AI14" s="236"/>
      <c r="AJ14" s="237" t="s">
        <v>111</v>
      </c>
      <c r="AK14" s="237"/>
      <c r="AL14" s="237"/>
      <c r="AM14" s="238"/>
      <c r="AN14" s="239"/>
      <c r="AO14" s="240" t="s">
        <v>112</v>
      </c>
      <c r="AP14" s="240"/>
      <c r="AQ14" s="240"/>
      <c r="AR14" s="225"/>
      <c r="AS14" s="225"/>
      <c r="AT14" s="225"/>
      <c r="AU14" s="225"/>
      <c r="AV14" s="225"/>
      <c r="AW14" s="225"/>
      <c r="AX14" s="225"/>
      <c r="AY14" s="225"/>
      <c r="AZ14" s="225"/>
      <c r="BA14" s="225"/>
      <c r="BB14" s="225"/>
      <c r="BC14" s="226" t="s">
        <v>205</v>
      </c>
      <c r="BD14" s="202">
        <v>865</v>
      </c>
      <c r="BE14" s="225"/>
      <c r="BF14" s="225"/>
      <c r="BG14" s="225"/>
      <c r="BH14" s="225"/>
      <c r="BI14" s="225"/>
      <c r="BJ14" s="225"/>
      <c r="BK14" s="225"/>
      <c r="BL14" s="225"/>
      <c r="BM14" s="225"/>
      <c r="BN14" s="225"/>
      <c r="BO14" s="225"/>
      <c r="BP14" s="225"/>
      <c r="BQ14" s="225"/>
      <c r="BR14" s="225"/>
      <c r="BS14" s="225"/>
      <c r="BT14" s="225"/>
      <c r="BU14" s="225"/>
      <c r="BV14" s="225"/>
      <c r="BW14" s="225"/>
      <c r="BX14" s="225"/>
      <c r="BY14" s="225"/>
      <c r="BZ14" s="225"/>
      <c r="CA14" s="225"/>
      <c r="CB14" s="225"/>
      <c r="CC14" s="225"/>
      <c r="CD14" s="225"/>
      <c r="CE14" s="225"/>
      <c r="CF14" s="225"/>
      <c r="CG14" s="225"/>
      <c r="CH14" s="225"/>
      <c r="CI14" s="225"/>
      <c r="CJ14" s="225"/>
    </row>
    <row r="15" spans="1:96" ht="47" thickBot="1" x14ac:dyDescent="0.4">
      <c r="A15" s="241"/>
      <c r="B15" s="242" t="s">
        <v>113</v>
      </c>
      <c r="C15" s="243"/>
      <c r="D15" s="244" t="s">
        <v>114</v>
      </c>
      <c r="E15" s="245" t="s">
        <v>115</v>
      </c>
      <c r="F15" s="245" t="s">
        <v>116</v>
      </c>
      <c r="G15" s="246" t="s">
        <v>86</v>
      </c>
      <c r="H15" s="247" t="s">
        <v>117</v>
      </c>
      <c r="I15" s="248" t="s">
        <v>118</v>
      </c>
      <c r="J15" s="248" t="s">
        <v>119</v>
      </c>
      <c r="K15" s="249" t="s">
        <v>120</v>
      </c>
      <c r="L15" s="250" t="s">
        <v>117</v>
      </c>
      <c r="M15" s="248" t="s">
        <v>118</v>
      </c>
      <c r="N15" s="248" t="s">
        <v>119</v>
      </c>
      <c r="O15" s="249" t="s">
        <v>120</v>
      </c>
      <c r="P15" s="250" t="s">
        <v>117</v>
      </c>
      <c r="Q15" s="248" t="s">
        <v>118</v>
      </c>
      <c r="R15" s="248" t="s">
        <v>119</v>
      </c>
      <c r="S15" s="249" t="s">
        <v>120</v>
      </c>
      <c r="T15" s="250" t="s">
        <v>117</v>
      </c>
      <c r="U15" s="248" t="s">
        <v>118</v>
      </c>
      <c r="V15" s="248" t="s">
        <v>119</v>
      </c>
      <c r="W15" s="249" t="s">
        <v>120</v>
      </c>
      <c r="X15" s="250" t="s">
        <v>117</v>
      </c>
      <c r="Y15" s="248" t="s">
        <v>118</v>
      </c>
      <c r="Z15" s="248" t="s">
        <v>119</v>
      </c>
      <c r="AA15" s="249" t="s">
        <v>120</v>
      </c>
      <c r="AB15" s="250" t="s">
        <v>117</v>
      </c>
      <c r="AC15" s="248" t="s">
        <v>118</v>
      </c>
      <c r="AD15" s="248" t="s">
        <v>119</v>
      </c>
      <c r="AE15" s="249" t="s">
        <v>120</v>
      </c>
      <c r="AF15" s="250" t="s">
        <v>117</v>
      </c>
      <c r="AG15" s="248" t="s">
        <v>118</v>
      </c>
      <c r="AH15" s="248" t="s">
        <v>119</v>
      </c>
      <c r="AI15" s="249" t="s">
        <v>120</v>
      </c>
      <c r="AJ15" s="250" t="s">
        <v>117</v>
      </c>
      <c r="AK15" s="248" t="s">
        <v>118</v>
      </c>
      <c r="AL15" s="248" t="s">
        <v>119</v>
      </c>
      <c r="AM15" s="249" t="s">
        <v>120</v>
      </c>
      <c r="AN15" s="247" t="s">
        <v>121</v>
      </c>
      <c r="AO15" s="248" t="s">
        <v>122</v>
      </c>
      <c r="AP15" s="248" t="s">
        <v>123</v>
      </c>
      <c r="AQ15" s="248" t="s">
        <v>124</v>
      </c>
      <c r="AR15" s="251" t="s">
        <v>125</v>
      </c>
      <c r="AS15" s="248" t="s">
        <v>126</v>
      </c>
      <c r="AT15" s="248" t="s">
        <v>127</v>
      </c>
      <c r="AU15" s="252" t="s">
        <v>128</v>
      </c>
      <c r="AV15" s="253" t="s">
        <v>129</v>
      </c>
      <c r="AW15" s="254" t="s">
        <v>130</v>
      </c>
      <c r="AX15" s="255" t="s">
        <v>131</v>
      </c>
      <c r="AY15" s="255" t="s">
        <v>132</v>
      </c>
      <c r="AZ15" s="256" t="s">
        <v>133</v>
      </c>
      <c r="BA15" s="255" t="s">
        <v>193</v>
      </c>
      <c r="BB15" s="257" t="s">
        <v>134</v>
      </c>
      <c r="BD15" s="258" t="s">
        <v>135</v>
      </c>
      <c r="BE15" s="259">
        <v>13856.88</v>
      </c>
    </row>
    <row r="16" spans="1:96" s="13" customFormat="1" ht="17.5" x14ac:dyDescent="0.35">
      <c r="A16" s="397" t="s">
        <v>136</v>
      </c>
      <c r="B16" s="204" t="s">
        <v>174</v>
      </c>
      <c r="C16" s="260"/>
      <c r="D16" s="261"/>
      <c r="E16" s="262"/>
      <c r="F16" s="262"/>
      <c r="G16" s="263">
        <v>1</v>
      </c>
      <c r="H16" s="264"/>
      <c r="I16" s="264"/>
      <c r="J16" s="265"/>
      <c r="K16" s="266"/>
      <c r="L16" s="264"/>
      <c r="M16" s="264"/>
      <c r="N16" s="265"/>
      <c r="O16" s="266"/>
      <c r="P16" s="264"/>
      <c r="Q16" s="264"/>
      <c r="R16" s="265"/>
      <c r="S16" s="266"/>
      <c r="T16" s="264"/>
      <c r="U16" s="264"/>
      <c r="V16" s="265"/>
      <c r="W16" s="266"/>
      <c r="X16" s="264"/>
      <c r="Y16" s="264"/>
      <c r="Z16" s="265"/>
      <c r="AA16" s="266"/>
      <c r="AB16" s="264">
        <v>8</v>
      </c>
      <c r="AC16" s="264">
        <v>16</v>
      </c>
      <c r="AD16" s="265">
        <f t="shared" ref="AD16:AD20" si="0">IF(AB16="",0,IF((AC16-AB16&lt;=0),(24-AB16+AC16),(AC16-AB16)))</f>
        <v>8</v>
      </c>
      <c r="AE16" s="266"/>
      <c r="AF16" s="264">
        <v>8</v>
      </c>
      <c r="AG16" s="264">
        <v>16</v>
      </c>
      <c r="AH16" s="265">
        <f t="shared" ref="AH16:AH20" si="1">IF(AF16="",0,IF((AG16-AF16&lt;=0),(24-AF16+AG16),(AG16-AF16)))</f>
        <v>8</v>
      </c>
      <c r="AI16" s="266"/>
      <c r="AJ16" s="264">
        <v>8</v>
      </c>
      <c r="AK16" s="264">
        <v>16</v>
      </c>
      <c r="AL16" s="265">
        <f t="shared" ref="AL16:AL20" si="2">IF(AJ16="",0,IF((AK16-AJ16&lt;=0),(24-AJ16+AK16),(AK16-AJ16)))</f>
        <v>8</v>
      </c>
      <c r="AM16" s="266"/>
      <c r="AN16" s="264">
        <f t="shared" ref="AN16:AN20" si="3">J16+N16+R16+V16+Z16+AD16+AH16+AL16</f>
        <v>24</v>
      </c>
      <c r="AO16" s="267">
        <f>IF(AN16=0,0,((J16*$C$114)+($D$114*N16)+(R16*$E$114)+(V16*$F$114)+($G$114*Z16)+(AD16*$H$115)+($I$116*AH16)+(AL16*$J$117)*G16))</f>
        <v>912</v>
      </c>
      <c r="AP16" s="267">
        <f>IF(AN16=0,0,((K16*$C$114)+($D$114*O16)+(S16*$E$114)+(W16*$F$114)+($G$114*AA16)+(AE16*$H$115)+($I$116*AI16)+(AM16*$J$117)*G16))</f>
        <v>0</v>
      </c>
      <c r="AQ16" s="267">
        <f>AL16*$J$117*G16</f>
        <v>144</v>
      </c>
      <c r="AR16" s="268">
        <f>AO16/$L$113</f>
        <v>0.45508982035928142</v>
      </c>
      <c r="AS16" s="268">
        <f t="shared" ref="AS16:AS20" si="4">AR16*0.09091</f>
        <v>4.1372215568862274E-2</v>
      </c>
      <c r="AT16" s="268">
        <f t="shared" ref="AT16:AT20" si="5">AS16+AR16</f>
        <v>0.4964620359281437</v>
      </c>
      <c r="AU16" s="269">
        <f>$BD$12</f>
        <v>2083</v>
      </c>
      <c r="AV16" s="270">
        <f>AU16/160*AV13</f>
        <v>16.924375000000001</v>
      </c>
      <c r="AW16" s="271">
        <f>AV16*AO16</f>
        <v>15435.03</v>
      </c>
      <c r="AX16" s="268">
        <f>$AX$13*AV16*AP16</f>
        <v>0</v>
      </c>
      <c r="AY16" s="268">
        <f>AV16*AQ16</f>
        <v>2437.11</v>
      </c>
      <c r="AZ16" s="272">
        <f>AV16*$AZ$13*AO16</f>
        <v>385.87575000000004</v>
      </c>
      <c r="BA16" s="268">
        <f>SUM(AW16:AZ16)</f>
        <v>18258.015749999999</v>
      </c>
      <c r="BB16" s="273">
        <f>(AW16+AX16+AY16+AZ16)*1.2359</f>
        <v>22565.081665424997</v>
      </c>
      <c r="BC16" s="201"/>
      <c r="BD16" s="201"/>
      <c r="BE16" s="201"/>
      <c r="BF16" s="201"/>
      <c r="BG16" s="201"/>
      <c r="BH16" s="201"/>
      <c r="BI16" s="201"/>
      <c r="BJ16" s="201"/>
      <c r="BK16" s="201"/>
      <c r="BL16" s="201"/>
      <c r="BM16" s="201"/>
      <c r="BN16" s="201"/>
      <c r="BO16" s="201"/>
      <c r="BP16" s="201"/>
      <c r="BQ16" s="201"/>
      <c r="BR16" s="201"/>
      <c r="BS16" s="201"/>
      <c r="BT16" s="201"/>
      <c r="BU16" s="201"/>
      <c r="BV16" s="201"/>
      <c r="BW16" s="201"/>
      <c r="BX16" s="201"/>
      <c r="BY16" s="201"/>
      <c r="BZ16" s="201"/>
      <c r="CA16" s="201"/>
      <c r="CB16" s="201"/>
      <c r="CC16" s="201"/>
      <c r="CD16" s="201"/>
      <c r="CE16" s="201"/>
      <c r="CF16" s="201"/>
      <c r="CG16" s="201"/>
      <c r="CH16" s="201"/>
      <c r="CI16" s="201"/>
      <c r="CJ16" s="201"/>
      <c r="CK16" s="12"/>
      <c r="CL16" s="12"/>
      <c r="CM16" s="12"/>
      <c r="CN16" s="12"/>
      <c r="CO16" s="12"/>
      <c r="CP16" s="12"/>
      <c r="CQ16" s="12"/>
      <c r="CR16" s="12"/>
    </row>
    <row r="17" spans="1:96" s="14" customFormat="1" ht="17.5" x14ac:dyDescent="0.35">
      <c r="A17" s="397"/>
      <c r="B17" s="204" t="s">
        <v>175</v>
      </c>
      <c r="C17" s="260"/>
      <c r="D17" s="261"/>
      <c r="E17" s="262"/>
      <c r="F17" s="262"/>
      <c r="G17" s="263">
        <v>1</v>
      </c>
      <c r="H17" s="264">
        <v>16</v>
      </c>
      <c r="I17" s="264">
        <v>8</v>
      </c>
      <c r="J17" s="265">
        <f t="shared" ref="J17:J20" si="6">IF(H17="",0,IF((I17-H17&lt;=0),(24-H17+I17),(I17-H17)))</f>
        <v>16</v>
      </c>
      <c r="K17" s="266">
        <v>8</v>
      </c>
      <c r="L17" s="239">
        <v>16</v>
      </c>
      <c r="M17" s="239">
        <v>8</v>
      </c>
      <c r="N17" s="265">
        <f t="shared" ref="N17:N20" si="7">IF(L17="",0,IF((M17-L17&lt;=0),(24-L17+M17),(M17-L17)))</f>
        <v>16</v>
      </c>
      <c r="O17" s="266">
        <v>8</v>
      </c>
      <c r="P17" s="239">
        <v>16</v>
      </c>
      <c r="Q17" s="239">
        <v>8</v>
      </c>
      <c r="R17" s="265">
        <f t="shared" ref="R17:R20" si="8">IF(P17="",0,IF((Q17-P17&lt;=0),(24-P17+Q17),(Q17-P17)))</f>
        <v>16</v>
      </c>
      <c r="S17" s="266">
        <v>8</v>
      </c>
      <c r="T17" s="239">
        <v>16</v>
      </c>
      <c r="U17" s="239">
        <v>8</v>
      </c>
      <c r="V17" s="265">
        <f t="shared" ref="V17:V20" si="9">IF(T17="",0,IF((U17-T17&lt;=0),(24-T17+U17),(U17-T17)))</f>
        <v>16</v>
      </c>
      <c r="W17" s="266">
        <v>8</v>
      </c>
      <c r="X17" s="239">
        <v>16</v>
      </c>
      <c r="Y17" s="239">
        <v>8</v>
      </c>
      <c r="Z17" s="265">
        <f t="shared" ref="Z17:Z20" si="10">IF(X17="",0,IF((Y17-X17&lt;=0),(24-X17+Y17),(Y17-X17)))</f>
        <v>16</v>
      </c>
      <c r="AA17" s="266">
        <v>8</v>
      </c>
      <c r="AB17" s="239"/>
      <c r="AC17" s="239"/>
      <c r="AD17" s="265"/>
      <c r="AE17" s="266"/>
      <c r="AF17" s="239"/>
      <c r="AG17" s="239"/>
      <c r="AH17" s="265"/>
      <c r="AI17" s="266"/>
      <c r="AJ17" s="239"/>
      <c r="AK17" s="239"/>
      <c r="AL17" s="265"/>
      <c r="AM17" s="266"/>
      <c r="AN17" s="274">
        <f t="shared" si="3"/>
        <v>80</v>
      </c>
      <c r="AO17" s="267">
        <f>IF(AN17=0,0,((J17*$C$114)+($D$114*N17)+(R17*$E$114)+(V17*$F$114)+($G$114*Z17)+(AD17*$H$115)+($I$116*AH17)+(AL17*$J$117)*G17))</f>
        <v>4000</v>
      </c>
      <c r="AP17" s="267">
        <f>IF(AN17=0,0,((K17*$C$114)+($D$114*O17)+(S17*$E$114)+(W17*$F$114)+($G$114*AA17)+(AE17*$H$115)+($I$116*AI17)+(AM17*$J$117)*G17))</f>
        <v>2000</v>
      </c>
      <c r="AQ17" s="267">
        <f>AL17*$J$117*G17</f>
        <v>0</v>
      </c>
      <c r="AR17" s="268">
        <f>AO17/$L$113</f>
        <v>1.996007984031936</v>
      </c>
      <c r="AS17" s="268">
        <f t="shared" si="4"/>
        <v>0.1814570858283433</v>
      </c>
      <c r="AT17" s="268">
        <f t="shared" si="5"/>
        <v>2.1774650698602791</v>
      </c>
      <c r="AU17" s="269">
        <f>$BD$12</f>
        <v>2083</v>
      </c>
      <c r="AV17" s="270">
        <f>AU17/160*AV13</f>
        <v>16.924375000000001</v>
      </c>
      <c r="AW17" s="271">
        <f>AV17*AO17</f>
        <v>67697.5</v>
      </c>
      <c r="AX17" s="268">
        <f>$AX$13*AV17*AP17</f>
        <v>16924.375</v>
      </c>
      <c r="AY17" s="268">
        <f>AV17*AQ17</f>
        <v>0</v>
      </c>
      <c r="AZ17" s="272">
        <f>AV17*$AZ$13*AO17</f>
        <v>1692.4375000000002</v>
      </c>
      <c r="BA17" s="268">
        <f t="shared" ref="BA17:BA55" si="11">SUM(AW17:AZ17)</f>
        <v>86314.3125</v>
      </c>
      <c r="BB17" s="273">
        <f>(AW17+AX17+AY17+AZ17)*1.2359</f>
        <v>106675.85881875</v>
      </c>
      <c r="BC17" s="201"/>
      <c r="BD17" s="201"/>
      <c r="BE17" s="201"/>
      <c r="BF17" s="201"/>
      <c r="BG17" s="201"/>
      <c r="BH17" s="201"/>
      <c r="BI17" s="201"/>
      <c r="BJ17" s="201"/>
      <c r="BK17" s="201"/>
      <c r="BL17" s="201"/>
      <c r="BM17" s="201"/>
      <c r="BN17" s="201"/>
      <c r="BO17" s="201"/>
      <c r="BP17" s="201"/>
      <c r="BQ17" s="201"/>
      <c r="BR17" s="201"/>
      <c r="BS17" s="201"/>
      <c r="BT17" s="201"/>
      <c r="BU17" s="201"/>
      <c r="BV17" s="201"/>
      <c r="BW17" s="201"/>
      <c r="BX17" s="201"/>
      <c r="BY17" s="201"/>
      <c r="BZ17" s="201"/>
      <c r="CA17" s="201"/>
      <c r="CB17" s="201"/>
      <c r="CC17" s="201"/>
      <c r="CD17" s="201"/>
      <c r="CE17" s="201"/>
      <c r="CF17" s="201"/>
      <c r="CG17" s="201"/>
      <c r="CH17" s="201"/>
      <c r="CI17" s="201"/>
      <c r="CJ17" s="201"/>
      <c r="CK17" s="12"/>
      <c r="CL17" s="12"/>
      <c r="CM17" s="12"/>
      <c r="CN17" s="12"/>
      <c r="CO17" s="12"/>
      <c r="CP17" s="12"/>
      <c r="CQ17" s="12"/>
      <c r="CR17" s="12"/>
    </row>
    <row r="18" spans="1:96" ht="30" x14ac:dyDescent="0.35">
      <c r="A18" s="397"/>
      <c r="B18" s="275" t="s">
        <v>96</v>
      </c>
      <c r="C18" s="260"/>
      <c r="D18" s="261"/>
      <c r="E18" s="262"/>
      <c r="F18" s="262"/>
      <c r="G18" s="263">
        <v>1</v>
      </c>
      <c r="H18" s="264">
        <v>9</v>
      </c>
      <c r="I18" s="264">
        <v>21</v>
      </c>
      <c r="J18" s="265">
        <f t="shared" si="6"/>
        <v>12</v>
      </c>
      <c r="K18" s="266">
        <v>0</v>
      </c>
      <c r="L18" s="239">
        <v>9</v>
      </c>
      <c r="M18" s="239">
        <v>21</v>
      </c>
      <c r="N18" s="265">
        <f t="shared" si="7"/>
        <v>12</v>
      </c>
      <c r="O18" s="266">
        <v>0</v>
      </c>
      <c r="P18" s="239">
        <v>9</v>
      </c>
      <c r="Q18" s="239">
        <v>21</v>
      </c>
      <c r="R18" s="265">
        <f t="shared" si="8"/>
        <v>12</v>
      </c>
      <c r="S18" s="266">
        <v>0</v>
      </c>
      <c r="T18" s="239">
        <v>9</v>
      </c>
      <c r="U18" s="239">
        <v>21</v>
      </c>
      <c r="V18" s="265">
        <f t="shared" si="9"/>
        <v>12</v>
      </c>
      <c r="W18" s="266">
        <v>0</v>
      </c>
      <c r="X18" s="239">
        <v>9</v>
      </c>
      <c r="Y18" s="239">
        <v>21</v>
      </c>
      <c r="Z18" s="265">
        <f t="shared" si="10"/>
        <v>12</v>
      </c>
      <c r="AA18" s="266">
        <v>0</v>
      </c>
      <c r="AB18" s="239"/>
      <c r="AC18" s="239"/>
      <c r="AD18" s="265">
        <f t="shared" si="0"/>
        <v>0</v>
      </c>
      <c r="AE18" s="266">
        <v>0</v>
      </c>
      <c r="AF18" s="239"/>
      <c r="AG18" s="239"/>
      <c r="AH18" s="265">
        <f t="shared" si="1"/>
        <v>0</v>
      </c>
      <c r="AI18" s="266">
        <v>0</v>
      </c>
      <c r="AJ18" s="239">
        <v>9</v>
      </c>
      <c r="AK18" s="239">
        <v>21</v>
      </c>
      <c r="AL18" s="265">
        <f t="shared" si="2"/>
        <v>12</v>
      </c>
      <c r="AM18" s="266">
        <v>0</v>
      </c>
      <c r="AN18" s="274">
        <f t="shared" si="3"/>
        <v>72</v>
      </c>
      <c r="AO18" s="267">
        <f>IF(AN18=0,0,((J18*$C$114)+($D$114*N18)+(R18*$E$114)+(V18*$F$114)+($G$114*Z18)+(AD18*$H$115)+($I$116*AH18)+(AL18*$J$117)*G18))</f>
        <v>3216</v>
      </c>
      <c r="AP18" s="267">
        <f>IF(AN18=0,0,((K18*$C$114)+($D$114*O18)+(S18*$E$114)+(W18*$F$114)+($G$114*AA18)+(AE18*$H$115)+($I$116*AI18)+(AM18*$J$117)*G18))</f>
        <v>0</v>
      </c>
      <c r="AQ18" s="267">
        <f>AL18*$J$117*G18</f>
        <v>216</v>
      </c>
      <c r="AR18" s="268">
        <f>AO18/$L$113</f>
        <v>1.6047904191616766</v>
      </c>
      <c r="AS18" s="268">
        <f t="shared" si="4"/>
        <v>0.14589149700598802</v>
      </c>
      <c r="AT18" s="268">
        <f t="shared" si="5"/>
        <v>1.7506819161676646</v>
      </c>
      <c r="AU18" s="269">
        <f>$BD$12</f>
        <v>2083</v>
      </c>
      <c r="AV18" s="270">
        <f>AU18/160*AV13</f>
        <v>16.924375000000001</v>
      </c>
      <c r="AW18" s="271">
        <f>AV18*AO18</f>
        <v>54428.79</v>
      </c>
      <c r="AX18" s="268">
        <f>$AX$13*AV18*AP18</f>
        <v>0</v>
      </c>
      <c r="AY18" s="268">
        <f>AV18*AQ18</f>
        <v>3655.6650000000004</v>
      </c>
      <c r="AZ18" s="272">
        <f>AV18*$AZ$13*AO18</f>
        <v>1360.7197500000002</v>
      </c>
      <c r="BA18" s="268">
        <f t="shared" si="11"/>
        <v>59445.174750000006</v>
      </c>
      <c r="BB18" s="273">
        <f>(AW18+AX18+AY18+AZ18)*1.2359</f>
        <v>73468.291473525009</v>
      </c>
      <c r="BD18" s="212" t="s">
        <v>137</v>
      </c>
      <c r="BE18" s="212" t="s">
        <v>138</v>
      </c>
      <c r="BF18" s="212" t="s">
        <v>139</v>
      </c>
    </row>
    <row r="19" spans="1:96" s="15" customFormat="1" ht="51" customHeight="1" x14ac:dyDescent="0.35">
      <c r="A19" s="276"/>
      <c r="B19" s="275" t="s">
        <v>100</v>
      </c>
      <c r="C19" s="260"/>
      <c r="D19" s="261"/>
      <c r="E19" s="262"/>
      <c r="F19" s="262"/>
      <c r="G19" s="277">
        <v>1</v>
      </c>
      <c r="H19" s="239">
        <v>8</v>
      </c>
      <c r="I19" s="239">
        <v>8</v>
      </c>
      <c r="J19" s="265">
        <f t="shared" si="6"/>
        <v>24</v>
      </c>
      <c r="K19" s="266">
        <v>8</v>
      </c>
      <c r="L19" s="239">
        <v>8</v>
      </c>
      <c r="M19" s="239">
        <v>8</v>
      </c>
      <c r="N19" s="265">
        <f t="shared" si="7"/>
        <v>24</v>
      </c>
      <c r="O19" s="266">
        <v>8</v>
      </c>
      <c r="P19" s="239">
        <v>8</v>
      </c>
      <c r="Q19" s="239">
        <v>8</v>
      </c>
      <c r="R19" s="265">
        <f t="shared" si="8"/>
        <v>24</v>
      </c>
      <c r="S19" s="266">
        <v>8</v>
      </c>
      <c r="T19" s="239">
        <v>8</v>
      </c>
      <c r="U19" s="239">
        <v>8</v>
      </c>
      <c r="V19" s="265">
        <f t="shared" si="9"/>
        <v>24</v>
      </c>
      <c r="W19" s="266">
        <v>8</v>
      </c>
      <c r="X19" s="239">
        <v>8</v>
      </c>
      <c r="Y19" s="239">
        <v>8</v>
      </c>
      <c r="Z19" s="265">
        <f t="shared" si="10"/>
        <v>24</v>
      </c>
      <c r="AA19" s="266">
        <v>8</v>
      </c>
      <c r="AB19" s="239">
        <v>8</v>
      </c>
      <c r="AC19" s="239">
        <v>8</v>
      </c>
      <c r="AD19" s="265">
        <f t="shared" si="0"/>
        <v>24</v>
      </c>
      <c r="AE19" s="266">
        <v>8</v>
      </c>
      <c r="AF19" s="239">
        <v>8</v>
      </c>
      <c r="AG19" s="239">
        <v>8</v>
      </c>
      <c r="AH19" s="265">
        <f t="shared" si="1"/>
        <v>24</v>
      </c>
      <c r="AI19" s="266">
        <v>8</v>
      </c>
      <c r="AJ19" s="239">
        <v>8</v>
      </c>
      <c r="AK19" s="239">
        <v>8</v>
      </c>
      <c r="AL19" s="265">
        <f t="shared" si="2"/>
        <v>24</v>
      </c>
      <c r="AM19" s="266">
        <v>8</v>
      </c>
      <c r="AN19" s="274">
        <f t="shared" si="3"/>
        <v>192</v>
      </c>
      <c r="AO19" s="267">
        <f>IF(AN19=0,0,((J19*$C$114)+($D$114*N19)+(R19*$E$114)+(V19*$F$114)+($G$114*Z19)+(AD19*$H$115)+($I$116*AH19)+(AL19*$J$117)*G19))</f>
        <v>8736</v>
      </c>
      <c r="AP19" s="267">
        <f>IF(AN19=0,0,((K19*$C$114)+($D$114*O19)+(S19*$E$114)+(W19*$F$114)+($G$114*AA19)+(AE19*$H$115)+($I$116*AI19)+(AM19*$J$117)*G19))</f>
        <v>2912</v>
      </c>
      <c r="AQ19" s="267">
        <f>AL19*$J$117*G19</f>
        <v>432</v>
      </c>
      <c r="AR19" s="268">
        <f>AO19/$L$113</f>
        <v>4.3592814371257482</v>
      </c>
      <c r="AS19" s="268">
        <f t="shared" si="4"/>
        <v>0.39630227544910179</v>
      </c>
      <c r="AT19" s="268">
        <f t="shared" si="5"/>
        <v>4.7555837125748504</v>
      </c>
      <c r="AU19" s="269">
        <f>$BD$12</f>
        <v>2083</v>
      </c>
      <c r="AV19" s="270">
        <f>AU19/160*AV13</f>
        <v>16.924375000000001</v>
      </c>
      <c r="AW19" s="271">
        <f>AV19*AO19</f>
        <v>147851.34000000003</v>
      </c>
      <c r="AX19" s="268">
        <f>$AX$13*AV19*AP19</f>
        <v>24641.890000000003</v>
      </c>
      <c r="AY19" s="268">
        <f>AV19*AQ19</f>
        <v>7311.3300000000008</v>
      </c>
      <c r="AZ19" s="272">
        <f>AV19*$AZ$13*AO19</f>
        <v>3696.2835000000005</v>
      </c>
      <c r="BA19" s="268">
        <f t="shared" si="11"/>
        <v>183500.84350000002</v>
      </c>
      <c r="BB19" s="273">
        <f>((AW19+AX19+AY19+AZ19)*1.2359)+((AW19+AX19+AY19+AZ19)*$BD$19)+((AW19+AX19+AY19+AZ19)*$BE$19)+((AW19+AX19+AY19+AZ19)*$BF$19)+BE15</f>
        <v>302668.85758465005</v>
      </c>
      <c r="BC19" s="201"/>
      <c r="BD19" s="278">
        <v>0.28120000000000001</v>
      </c>
      <c r="BE19" s="278">
        <v>2.1899999999999999E-2</v>
      </c>
      <c r="BF19" s="278">
        <v>3.49E-2</v>
      </c>
      <c r="BG19" s="279"/>
      <c r="BH19" s="279"/>
      <c r="BI19" s="279"/>
      <c r="BJ19" s="279"/>
      <c r="BK19" s="279"/>
      <c r="BL19" s="279"/>
      <c r="BM19" s="279"/>
      <c r="BN19" s="279"/>
      <c r="BO19" s="279"/>
      <c r="BP19" s="279"/>
      <c r="BQ19" s="279"/>
      <c r="BR19" s="279"/>
      <c r="BS19" s="279"/>
      <c r="BT19" s="279"/>
      <c r="BU19" s="279"/>
      <c r="BV19" s="279"/>
      <c r="BW19" s="279"/>
      <c r="BX19" s="279"/>
      <c r="BY19" s="279"/>
      <c r="BZ19" s="279"/>
      <c r="CA19" s="279"/>
      <c r="CB19" s="279"/>
      <c r="CC19" s="279"/>
      <c r="CD19" s="279"/>
      <c r="CE19" s="279"/>
      <c r="CF19" s="279"/>
      <c r="CG19" s="279"/>
      <c r="CH19" s="279"/>
      <c r="CI19" s="279"/>
      <c r="CJ19" s="279"/>
    </row>
    <row r="20" spans="1:96" s="15" customFormat="1" ht="17.5" x14ac:dyDescent="0.35">
      <c r="A20" s="276"/>
      <c r="B20" s="280" t="s">
        <v>143</v>
      </c>
      <c r="C20" s="260"/>
      <c r="D20" s="261"/>
      <c r="E20" s="262"/>
      <c r="F20" s="262"/>
      <c r="G20" s="277">
        <v>1</v>
      </c>
      <c r="H20" s="239">
        <v>8</v>
      </c>
      <c r="I20" s="239">
        <v>8</v>
      </c>
      <c r="J20" s="265">
        <f t="shared" si="6"/>
        <v>24</v>
      </c>
      <c r="K20" s="266">
        <v>8</v>
      </c>
      <c r="L20" s="239">
        <v>8</v>
      </c>
      <c r="M20" s="239">
        <v>8</v>
      </c>
      <c r="N20" s="265">
        <f t="shared" si="7"/>
        <v>24</v>
      </c>
      <c r="O20" s="266">
        <v>8</v>
      </c>
      <c r="P20" s="239">
        <v>8</v>
      </c>
      <c r="Q20" s="239">
        <v>8</v>
      </c>
      <c r="R20" s="265">
        <f t="shared" si="8"/>
        <v>24</v>
      </c>
      <c r="S20" s="266">
        <v>8</v>
      </c>
      <c r="T20" s="239">
        <v>8</v>
      </c>
      <c r="U20" s="239">
        <v>8</v>
      </c>
      <c r="V20" s="265">
        <f t="shared" si="9"/>
        <v>24</v>
      </c>
      <c r="W20" s="266">
        <v>8</v>
      </c>
      <c r="X20" s="239">
        <v>8</v>
      </c>
      <c r="Y20" s="239">
        <v>8</v>
      </c>
      <c r="Z20" s="265">
        <f t="shared" si="10"/>
        <v>24</v>
      </c>
      <c r="AA20" s="266">
        <v>8</v>
      </c>
      <c r="AB20" s="239">
        <v>8</v>
      </c>
      <c r="AC20" s="239">
        <v>8</v>
      </c>
      <c r="AD20" s="265">
        <f t="shared" si="0"/>
        <v>24</v>
      </c>
      <c r="AE20" s="266">
        <v>8</v>
      </c>
      <c r="AF20" s="239">
        <v>8</v>
      </c>
      <c r="AG20" s="239">
        <v>8</v>
      </c>
      <c r="AH20" s="265">
        <f t="shared" si="1"/>
        <v>24</v>
      </c>
      <c r="AI20" s="266">
        <v>8</v>
      </c>
      <c r="AJ20" s="239">
        <v>8</v>
      </c>
      <c r="AK20" s="239">
        <v>8</v>
      </c>
      <c r="AL20" s="265">
        <f t="shared" si="2"/>
        <v>24</v>
      </c>
      <c r="AM20" s="266">
        <v>9</v>
      </c>
      <c r="AN20" s="274">
        <f t="shared" si="3"/>
        <v>192</v>
      </c>
      <c r="AO20" s="267">
        <f>IF(AN20=0,0,((J20*$C$114)+($D$114*N20)+(R20*$E$114)+(V20*$F$114)+($G$114*Z20)+(AD20*$H$115)+($I$116*AH20)+(AL20*$J$117)*G20))</f>
        <v>8736</v>
      </c>
      <c r="AP20" s="267">
        <f>IF(AN20=0,0,((K20*$C$114)+($D$114*O20)+(S20*$E$114)+(W20*$F$114)+($G$114*AA20)+(AE20*$H$115)+($I$116*AI20)+(AM20*$J$117)*G20))</f>
        <v>2930</v>
      </c>
      <c r="AQ20" s="267">
        <f>AL20*$J$117*G20</f>
        <v>432</v>
      </c>
      <c r="AR20" s="268">
        <f>AO20/$L$113</f>
        <v>4.3592814371257482</v>
      </c>
      <c r="AS20" s="268">
        <f t="shared" si="4"/>
        <v>0.39630227544910179</v>
      </c>
      <c r="AT20" s="268">
        <f t="shared" si="5"/>
        <v>4.7555837125748504</v>
      </c>
      <c r="AU20" s="281">
        <f>$BD$12*0.75</f>
        <v>1562.25</v>
      </c>
      <c r="AV20" s="270">
        <f>AU20/160*AV13</f>
        <v>12.69328125</v>
      </c>
      <c r="AW20" s="271">
        <f>AV20*AO20</f>
        <v>110888.505</v>
      </c>
      <c r="AX20" s="268">
        <f>$AX$13*AV20*AP20</f>
        <v>18595.657031250001</v>
      </c>
      <c r="AY20" s="268">
        <f>AV20*AQ20</f>
        <v>5483.4975000000004</v>
      </c>
      <c r="AZ20" s="272">
        <f>AV20*$AZ$13*AO20</f>
        <v>2772.2126250000001</v>
      </c>
      <c r="BA20" s="268">
        <f t="shared" si="11"/>
        <v>137739.87215625</v>
      </c>
      <c r="BB20" s="273">
        <f>(AW20+AX20+AY20+AZ20)*1.2359</f>
        <v>170232.70799790937</v>
      </c>
      <c r="BC20" s="201"/>
      <c r="BD20" s="279"/>
      <c r="BE20" s="279"/>
      <c r="BF20" s="279"/>
      <c r="BG20" s="279"/>
      <c r="BH20" s="279"/>
      <c r="BI20" s="279"/>
      <c r="BJ20" s="279"/>
      <c r="BK20" s="279"/>
      <c r="BL20" s="279"/>
      <c r="BM20" s="279"/>
      <c r="BN20" s="279"/>
      <c r="BO20" s="279"/>
      <c r="BP20" s="279"/>
      <c r="BQ20" s="279"/>
      <c r="BR20" s="279"/>
      <c r="BS20" s="279"/>
      <c r="BT20" s="279"/>
      <c r="BU20" s="279"/>
      <c r="BV20" s="279"/>
      <c r="BW20" s="279"/>
      <c r="BX20" s="279"/>
      <c r="BY20" s="279"/>
      <c r="BZ20" s="279"/>
      <c r="CA20" s="279"/>
      <c r="CB20" s="279"/>
      <c r="CC20" s="279"/>
      <c r="CD20" s="279"/>
      <c r="CE20" s="279"/>
      <c r="CF20" s="279"/>
      <c r="CG20" s="279"/>
      <c r="CH20" s="279"/>
      <c r="CI20" s="279"/>
      <c r="CJ20" s="279"/>
    </row>
    <row r="21" spans="1:96" s="15" customFormat="1" ht="17.5" x14ac:dyDescent="0.35">
      <c r="A21" s="276"/>
      <c r="B21" s="275"/>
      <c r="C21" s="260"/>
      <c r="D21" s="261"/>
      <c r="E21" s="262"/>
      <c r="F21" s="262"/>
      <c r="G21" s="263"/>
      <c r="H21" s="264"/>
      <c r="I21" s="264"/>
      <c r="J21" s="282"/>
      <c r="K21" s="264"/>
      <c r="L21" s="264"/>
      <c r="M21" s="264"/>
      <c r="N21" s="282"/>
      <c r="O21" s="264"/>
      <c r="P21" s="264"/>
      <c r="Q21" s="264"/>
      <c r="R21" s="282"/>
      <c r="S21" s="264"/>
      <c r="T21" s="264"/>
      <c r="U21" s="264"/>
      <c r="V21" s="282"/>
      <c r="W21" s="264"/>
      <c r="X21" s="264"/>
      <c r="Y21" s="264"/>
      <c r="Z21" s="282"/>
      <c r="AA21" s="264"/>
      <c r="AB21" s="264"/>
      <c r="AC21" s="264"/>
      <c r="AD21" s="282"/>
      <c r="AE21" s="264"/>
      <c r="AF21" s="264"/>
      <c r="AG21" s="264"/>
      <c r="AH21" s="282"/>
      <c r="AI21" s="264"/>
      <c r="AJ21" s="264"/>
      <c r="AK21" s="264"/>
      <c r="AL21" s="282"/>
      <c r="AM21" s="264"/>
      <c r="AN21" s="264"/>
      <c r="AO21" s="267"/>
      <c r="AP21" s="267"/>
      <c r="AQ21" s="267"/>
      <c r="AR21" s="268"/>
      <c r="AS21" s="268"/>
      <c r="AT21" s="268"/>
      <c r="AU21" s="269"/>
      <c r="AV21" s="270"/>
      <c r="AW21" s="271"/>
      <c r="AX21" s="268"/>
      <c r="AY21" s="268"/>
      <c r="AZ21" s="272"/>
      <c r="BA21" s="268">
        <f t="shared" si="11"/>
        <v>0</v>
      </c>
      <c r="BB21" s="273"/>
      <c r="BC21" s="201"/>
      <c r="BD21" s="279"/>
      <c r="BE21" s="279"/>
      <c r="BF21" s="279"/>
      <c r="BG21" s="279"/>
      <c r="BH21" s="279"/>
      <c r="BI21" s="279"/>
      <c r="BJ21" s="279"/>
      <c r="BK21" s="279"/>
      <c r="BL21" s="279"/>
      <c r="BM21" s="279"/>
      <c r="BN21" s="279"/>
      <c r="BO21" s="279"/>
      <c r="BP21" s="279"/>
      <c r="BQ21" s="279"/>
      <c r="BR21" s="279"/>
      <c r="BS21" s="279"/>
      <c r="BT21" s="279"/>
      <c r="BU21" s="279"/>
      <c r="BV21" s="279"/>
      <c r="BW21" s="279"/>
      <c r="BX21" s="279"/>
      <c r="BY21" s="279"/>
      <c r="BZ21" s="279"/>
      <c r="CA21" s="279"/>
      <c r="CB21" s="279"/>
      <c r="CC21" s="279"/>
      <c r="CD21" s="279"/>
      <c r="CE21" s="279"/>
      <c r="CF21" s="279"/>
      <c r="CG21" s="279"/>
      <c r="CH21" s="279"/>
      <c r="CI21" s="279"/>
      <c r="CJ21" s="279"/>
    </row>
    <row r="22" spans="1:96" s="15" customFormat="1" ht="17.5" x14ac:dyDescent="0.35">
      <c r="A22" s="276"/>
      <c r="B22" s="275"/>
      <c r="C22" s="260"/>
      <c r="D22" s="261"/>
      <c r="E22" s="262"/>
      <c r="F22" s="262"/>
      <c r="G22" s="263"/>
      <c r="H22" s="264"/>
      <c r="I22" s="264"/>
      <c r="J22" s="282"/>
      <c r="K22" s="264"/>
      <c r="L22" s="264"/>
      <c r="M22" s="264"/>
      <c r="N22" s="282"/>
      <c r="O22" s="264"/>
      <c r="P22" s="264"/>
      <c r="Q22" s="264"/>
      <c r="R22" s="282"/>
      <c r="S22" s="264"/>
      <c r="T22" s="264"/>
      <c r="U22" s="264"/>
      <c r="V22" s="282"/>
      <c r="W22" s="264"/>
      <c r="X22" s="264"/>
      <c r="Y22" s="264"/>
      <c r="Z22" s="282"/>
      <c r="AA22" s="264"/>
      <c r="AB22" s="264"/>
      <c r="AC22" s="264"/>
      <c r="AD22" s="282"/>
      <c r="AE22" s="264"/>
      <c r="AF22" s="264"/>
      <c r="AG22" s="264"/>
      <c r="AH22" s="282"/>
      <c r="AI22" s="264"/>
      <c r="AJ22" s="264"/>
      <c r="AK22" s="264"/>
      <c r="AL22" s="282"/>
      <c r="AM22" s="264"/>
      <c r="AN22" s="264"/>
      <c r="AO22" s="267"/>
      <c r="AP22" s="267"/>
      <c r="AQ22" s="267"/>
      <c r="AR22" s="268"/>
      <c r="AS22" s="268"/>
      <c r="AT22" s="268"/>
      <c r="AU22" s="269"/>
      <c r="AV22" s="270"/>
      <c r="AW22" s="271"/>
      <c r="AX22" s="268"/>
      <c r="AY22" s="268"/>
      <c r="AZ22" s="272"/>
      <c r="BA22" s="268">
        <f t="shared" si="11"/>
        <v>0</v>
      </c>
      <c r="BB22" s="273"/>
      <c r="BC22" s="201"/>
      <c r="BD22" s="279"/>
      <c r="BE22" s="279"/>
      <c r="BF22" s="279"/>
      <c r="BG22" s="279"/>
      <c r="BH22" s="279"/>
      <c r="BI22" s="279"/>
      <c r="BJ22" s="279"/>
      <c r="BK22" s="279"/>
      <c r="BL22" s="279"/>
      <c r="BM22" s="279"/>
      <c r="BN22" s="279"/>
      <c r="BO22" s="279"/>
      <c r="BP22" s="279"/>
      <c r="BQ22" s="279"/>
      <c r="BR22" s="279"/>
      <c r="BS22" s="279"/>
      <c r="BT22" s="279"/>
      <c r="BU22" s="279"/>
      <c r="BV22" s="279"/>
      <c r="BW22" s="279"/>
      <c r="BX22" s="279"/>
      <c r="BY22" s="279"/>
      <c r="BZ22" s="279"/>
      <c r="CA22" s="279"/>
      <c r="CB22" s="279"/>
      <c r="CC22" s="279"/>
      <c r="CD22" s="279"/>
      <c r="CE22" s="279"/>
      <c r="CF22" s="279"/>
      <c r="CG22" s="279"/>
      <c r="CH22" s="279"/>
      <c r="CI22" s="279"/>
      <c r="CJ22" s="279"/>
    </row>
    <row r="23" spans="1:96" ht="17.5" x14ac:dyDescent="0.35">
      <c r="A23" s="398" t="s">
        <v>140</v>
      </c>
      <c r="B23" s="204" t="s">
        <v>174</v>
      </c>
      <c r="C23" s="260"/>
      <c r="D23" s="261"/>
      <c r="E23" s="262"/>
      <c r="F23" s="262"/>
      <c r="G23" s="263">
        <v>1</v>
      </c>
      <c r="H23" s="264"/>
      <c r="I23" s="264"/>
      <c r="J23" s="265"/>
      <c r="K23" s="266"/>
      <c r="L23" s="264"/>
      <c r="M23" s="264"/>
      <c r="N23" s="265"/>
      <c r="O23" s="266"/>
      <c r="P23" s="264"/>
      <c r="Q23" s="264"/>
      <c r="R23" s="265"/>
      <c r="S23" s="266"/>
      <c r="T23" s="264"/>
      <c r="U23" s="264"/>
      <c r="V23" s="265"/>
      <c r="W23" s="266"/>
      <c r="X23" s="264"/>
      <c r="Y23" s="264"/>
      <c r="Z23" s="265"/>
      <c r="AA23" s="266"/>
      <c r="AB23" s="264">
        <v>8</v>
      </c>
      <c r="AC23" s="264">
        <v>16</v>
      </c>
      <c r="AD23" s="265">
        <f t="shared" ref="AD23" si="12">IF(AB23="",0,IF((AC23-AB23&lt;=0),(24-AB23+AC23),(AC23-AB23)))</f>
        <v>8</v>
      </c>
      <c r="AE23" s="266"/>
      <c r="AF23" s="264">
        <v>8</v>
      </c>
      <c r="AG23" s="264">
        <v>16</v>
      </c>
      <c r="AH23" s="265">
        <f t="shared" ref="AH23" si="13">IF(AF23="",0,IF((AG23-AF23&lt;=0),(24-AF23+AG23),(AG23-AF23)))</f>
        <v>8</v>
      </c>
      <c r="AI23" s="266"/>
      <c r="AJ23" s="264">
        <v>8</v>
      </c>
      <c r="AK23" s="264">
        <v>16</v>
      </c>
      <c r="AL23" s="265">
        <f t="shared" ref="AL23" si="14">IF(AJ23="",0,IF((AK23-AJ23&lt;=0),(24-AJ23+AK23),(AK23-AJ23)))</f>
        <v>8</v>
      </c>
      <c r="AM23" s="266"/>
      <c r="AN23" s="264">
        <f>J23+N23+R23+V23+Z23+AD23+AH23+AL23</f>
        <v>24</v>
      </c>
      <c r="AO23" s="267">
        <f>IF(AN23=0,0,((J23*$C$114)+($D$114*N23)+(R23*$E$114)+(V23*$F$114)+($G$114*Z23)+(AD23*$H$115)+($I$116*AH23)+(AL23*$J$117)*G23))</f>
        <v>912</v>
      </c>
      <c r="AP23" s="267">
        <f>IF(AN23=0,0,((K23*$C$114)+($D$114*O23)+(S23*$E$114)+(W23*$F$114)+($G$114*AA23)+(AE23*$H$115)+($I$116*AI23)+(AM23*$J$117)*G23))</f>
        <v>0</v>
      </c>
      <c r="AQ23" s="267">
        <f>AL23*$J$117*G23</f>
        <v>144</v>
      </c>
      <c r="AR23" s="268">
        <f>AO23/$L$113</f>
        <v>0.45508982035928142</v>
      </c>
      <c r="AS23" s="268">
        <f>AR23*0.09091</f>
        <v>4.1372215568862274E-2</v>
      </c>
      <c r="AT23" s="268">
        <f>AS23+AR23</f>
        <v>0.4964620359281437</v>
      </c>
      <c r="AU23" s="269">
        <f>$BD$13</f>
        <v>1303</v>
      </c>
      <c r="AV23" s="270">
        <f>AU23/160*$AV$13</f>
        <v>10.586875000000001</v>
      </c>
      <c r="AW23" s="271">
        <f>AV23*AO23</f>
        <v>9655.2300000000014</v>
      </c>
      <c r="AX23" s="268">
        <f>$AX$13*AV23*AP23</f>
        <v>0</v>
      </c>
      <c r="AY23" s="268">
        <f>AV23*AQ23</f>
        <v>1524.5100000000002</v>
      </c>
      <c r="AZ23" s="272">
        <f>AV23*$AZ$13*AO23</f>
        <v>241.38075000000006</v>
      </c>
      <c r="BA23" s="268">
        <f t="shared" si="11"/>
        <v>11421.120750000002</v>
      </c>
      <c r="BB23" s="273">
        <f>(AW23+AX23+AY23+AZ23)*1.2359</f>
        <v>14115.363134925003</v>
      </c>
    </row>
    <row r="24" spans="1:96" ht="17.5" x14ac:dyDescent="0.35">
      <c r="A24" s="398"/>
      <c r="B24" s="204" t="s">
        <v>175</v>
      </c>
      <c r="C24" s="260"/>
      <c r="D24" s="261"/>
      <c r="E24" s="262"/>
      <c r="F24" s="262"/>
      <c r="G24" s="263">
        <v>1</v>
      </c>
      <c r="H24" s="264">
        <v>16</v>
      </c>
      <c r="I24" s="264">
        <v>8</v>
      </c>
      <c r="J24" s="265">
        <f t="shared" ref="J24:J26" si="15">IF(H24="",0,IF((I24-H24&lt;=0),(24-H24+I24),(I24-H24)))</f>
        <v>16</v>
      </c>
      <c r="K24" s="266">
        <v>8</v>
      </c>
      <c r="L24" s="239">
        <v>16</v>
      </c>
      <c r="M24" s="239">
        <v>8</v>
      </c>
      <c r="N24" s="265">
        <f t="shared" ref="N24:N26" si="16">IF(L24="",0,IF((M24-L24&lt;=0),(24-L24+M24),(M24-L24)))</f>
        <v>16</v>
      </c>
      <c r="O24" s="266">
        <v>8</v>
      </c>
      <c r="P24" s="239">
        <v>16</v>
      </c>
      <c r="Q24" s="239">
        <v>8</v>
      </c>
      <c r="R24" s="265">
        <f t="shared" ref="R24:R26" si="17">IF(P24="",0,IF((Q24-P24&lt;=0),(24-P24+Q24),(Q24-P24)))</f>
        <v>16</v>
      </c>
      <c r="S24" s="266">
        <v>8</v>
      </c>
      <c r="T24" s="239">
        <v>16</v>
      </c>
      <c r="U24" s="239">
        <v>8</v>
      </c>
      <c r="V24" s="265">
        <f t="shared" ref="V24:V26" si="18">IF(T24="",0,IF((U24-T24&lt;=0),(24-T24+U24),(U24-T24)))</f>
        <v>16</v>
      </c>
      <c r="W24" s="266">
        <v>8</v>
      </c>
      <c r="X24" s="239">
        <v>16</v>
      </c>
      <c r="Y24" s="239">
        <v>8</v>
      </c>
      <c r="Z24" s="265">
        <f t="shared" ref="Z24:Z26" si="19">IF(X24="",0,IF((Y24-X24&lt;=0),(24-X24+Y24),(Y24-X24)))</f>
        <v>16</v>
      </c>
      <c r="AA24" s="266">
        <v>8</v>
      </c>
      <c r="AB24" s="239"/>
      <c r="AC24" s="239"/>
      <c r="AD24" s="265"/>
      <c r="AE24" s="266"/>
      <c r="AF24" s="239"/>
      <c r="AG24" s="239"/>
      <c r="AH24" s="265"/>
      <c r="AI24" s="266"/>
      <c r="AJ24" s="239"/>
      <c r="AK24" s="239"/>
      <c r="AL24" s="265"/>
      <c r="AM24" s="266"/>
      <c r="AN24" s="274">
        <f>J24+N24+R24+V24+Z24+AD24+AH24+AL24</f>
        <v>80</v>
      </c>
      <c r="AO24" s="267">
        <f>IF(AN24=0,0,((J24*$C$114)+($D$114*N24)+(R24*$E$114)+(V24*$F$114)+($G$114*Z24)+(AD24*$H$115)+($I$116*AH24)+(AL24*$J$117)*G24))</f>
        <v>4000</v>
      </c>
      <c r="AP24" s="267">
        <f>IF(AN24=0,0,((K24*$C$114)+($D$114*O24)+(S24*$E$114)+(W24*$F$114)+($G$114*AA24)+(AE24*$H$115)+($I$116*AI24)+(AM24*$J$117)*G24))</f>
        <v>2000</v>
      </c>
      <c r="AQ24" s="267">
        <f>AL24*$J$117*G24</f>
        <v>0</v>
      </c>
      <c r="AR24" s="268">
        <f>AO24/$L$113</f>
        <v>1.996007984031936</v>
      </c>
      <c r="AS24" s="268">
        <f>AR24*0.09091</f>
        <v>0.1814570858283433</v>
      </c>
      <c r="AT24" s="268">
        <f>AS24+AR24</f>
        <v>2.1774650698602791</v>
      </c>
      <c r="AU24" s="269">
        <f>$BD$13</f>
        <v>1303</v>
      </c>
      <c r="AV24" s="270">
        <f>AU24/160*$AV$13</f>
        <v>10.586875000000001</v>
      </c>
      <c r="AW24" s="271">
        <f>AV24*AO24</f>
        <v>42347.500000000007</v>
      </c>
      <c r="AX24" s="268">
        <f>$AX$13*AV24*AP24</f>
        <v>10586.875000000002</v>
      </c>
      <c r="AY24" s="268">
        <f>AV24*AQ24</f>
        <v>0</v>
      </c>
      <c r="AZ24" s="272">
        <f>AV24*$AZ$13*AO24</f>
        <v>1058.6875000000002</v>
      </c>
      <c r="BA24" s="268">
        <f t="shared" si="11"/>
        <v>53993.062500000007</v>
      </c>
      <c r="BB24" s="273">
        <f>(AW24+AX24+AY24+AZ24)*1.2359</f>
        <v>66730.025943750006</v>
      </c>
    </row>
    <row r="25" spans="1:96" ht="30" x14ac:dyDescent="0.35">
      <c r="A25" s="398"/>
      <c r="B25" s="275" t="s">
        <v>96</v>
      </c>
      <c r="C25" s="260"/>
      <c r="D25" s="261"/>
      <c r="E25" s="262"/>
      <c r="F25" s="262"/>
      <c r="G25" s="263">
        <v>1</v>
      </c>
      <c r="H25" s="264">
        <v>9</v>
      </c>
      <c r="I25" s="264">
        <v>21</v>
      </c>
      <c r="J25" s="265">
        <f t="shared" si="15"/>
        <v>12</v>
      </c>
      <c r="K25" s="266">
        <v>0</v>
      </c>
      <c r="L25" s="239">
        <v>9</v>
      </c>
      <c r="M25" s="239">
        <v>21</v>
      </c>
      <c r="N25" s="265">
        <f t="shared" si="16"/>
        <v>12</v>
      </c>
      <c r="O25" s="266">
        <v>0</v>
      </c>
      <c r="P25" s="239">
        <v>9</v>
      </c>
      <c r="Q25" s="239">
        <v>21</v>
      </c>
      <c r="R25" s="265">
        <f t="shared" si="17"/>
        <v>12</v>
      </c>
      <c r="S25" s="266">
        <v>0</v>
      </c>
      <c r="T25" s="239">
        <v>9</v>
      </c>
      <c r="U25" s="239">
        <v>21</v>
      </c>
      <c r="V25" s="265">
        <f t="shared" si="18"/>
        <v>12</v>
      </c>
      <c r="W25" s="266">
        <v>0</v>
      </c>
      <c r="X25" s="239">
        <v>9</v>
      </c>
      <c r="Y25" s="239">
        <v>21</v>
      </c>
      <c r="Z25" s="265">
        <f t="shared" si="19"/>
        <v>12</v>
      </c>
      <c r="AA25" s="266">
        <v>0</v>
      </c>
      <c r="AB25" s="239"/>
      <c r="AC25" s="239"/>
      <c r="AD25" s="265">
        <f t="shared" ref="AD25:AD26" si="20">IF(AB25="",0,IF((AC25-AB25&lt;=0),(24-AB25+AC25),(AC25-AB25)))</f>
        <v>0</v>
      </c>
      <c r="AE25" s="266">
        <v>0</v>
      </c>
      <c r="AF25" s="239"/>
      <c r="AG25" s="239"/>
      <c r="AH25" s="265">
        <f t="shared" ref="AH25:AH26" si="21">IF(AF25="",0,IF((AG25-AF25&lt;=0),(24-AF25+AG25),(AG25-AF25)))</f>
        <v>0</v>
      </c>
      <c r="AI25" s="266">
        <v>0</v>
      </c>
      <c r="AJ25" s="239">
        <v>9</v>
      </c>
      <c r="AK25" s="239">
        <v>21</v>
      </c>
      <c r="AL25" s="265">
        <f t="shared" ref="AL25:AL26" si="22">IF(AJ25="",0,IF((AK25-AJ25&lt;=0),(24-AJ25+AK25),(AK25-AJ25)))</f>
        <v>12</v>
      </c>
      <c r="AM25" s="266">
        <v>0</v>
      </c>
      <c r="AN25" s="274">
        <f>J25+N25+R25+V25+Z25+AD25+AH25+AL25</f>
        <v>72</v>
      </c>
      <c r="AO25" s="267">
        <f>IF(AN25=0,0,((J25*$C$114)+($D$114*N25)+(R25*$E$114)+(V25*$F$114)+($G$114*Z25)+(AD25*$H$115)+($I$116*AH25)+(AL25*$J$117)*G25))</f>
        <v>3216</v>
      </c>
      <c r="AP25" s="267">
        <f>IF(AN25=0,0,((K25*$C$114)+($D$114*O25)+(S25*$E$114)+(W25*$F$114)+($G$114*AA25)+(AE25*$H$115)+($I$116*AI25)+(AM25*$J$117)*G25))</f>
        <v>0</v>
      </c>
      <c r="AQ25" s="267">
        <f>AL25*$J$117*G25</f>
        <v>216</v>
      </c>
      <c r="AR25" s="268">
        <f>AO25/$L$113</f>
        <v>1.6047904191616766</v>
      </c>
      <c r="AS25" s="268">
        <f>AR25*0.09091</f>
        <v>0.14589149700598802</v>
      </c>
      <c r="AT25" s="268">
        <f>AS25+AR25</f>
        <v>1.7506819161676646</v>
      </c>
      <c r="AU25" s="269">
        <f>$BD$13</f>
        <v>1303</v>
      </c>
      <c r="AV25" s="270">
        <f>AU25/160*$AV$13</f>
        <v>10.586875000000001</v>
      </c>
      <c r="AW25" s="271">
        <f>AV25*AO25</f>
        <v>34047.39</v>
      </c>
      <c r="AX25" s="268">
        <f>$AX$13*AV25*AP25</f>
        <v>0</v>
      </c>
      <c r="AY25" s="268">
        <f>AV25*AQ25</f>
        <v>2286.7650000000003</v>
      </c>
      <c r="AZ25" s="272">
        <f>AV25*$AZ$13*AO25</f>
        <v>851.18475000000024</v>
      </c>
      <c r="BA25" s="268">
        <f t="shared" si="11"/>
        <v>37185.339749999999</v>
      </c>
      <c r="BB25" s="273">
        <f>(AW25+AX25+AY25+AZ25)*1.2359</f>
        <v>45957.361397025001</v>
      </c>
    </row>
    <row r="26" spans="1:96" s="15" customFormat="1" ht="30" x14ac:dyDescent="0.35">
      <c r="A26" s="276"/>
      <c r="B26" s="275" t="s">
        <v>100</v>
      </c>
      <c r="C26" s="260"/>
      <c r="D26" s="261"/>
      <c r="E26" s="262"/>
      <c r="F26" s="262"/>
      <c r="G26" s="277">
        <v>1</v>
      </c>
      <c r="H26" s="239">
        <v>8</v>
      </c>
      <c r="I26" s="239">
        <v>8</v>
      </c>
      <c r="J26" s="265">
        <f t="shared" si="15"/>
        <v>24</v>
      </c>
      <c r="K26" s="266">
        <v>8</v>
      </c>
      <c r="L26" s="239">
        <v>8</v>
      </c>
      <c r="M26" s="239">
        <v>8</v>
      </c>
      <c r="N26" s="265">
        <f t="shared" si="16"/>
        <v>24</v>
      </c>
      <c r="O26" s="266">
        <v>8</v>
      </c>
      <c r="P26" s="239">
        <v>8</v>
      </c>
      <c r="Q26" s="239">
        <v>8</v>
      </c>
      <c r="R26" s="265">
        <f t="shared" si="17"/>
        <v>24</v>
      </c>
      <c r="S26" s="266">
        <v>8</v>
      </c>
      <c r="T26" s="239">
        <v>8</v>
      </c>
      <c r="U26" s="239">
        <v>8</v>
      </c>
      <c r="V26" s="265">
        <f t="shared" si="18"/>
        <v>24</v>
      </c>
      <c r="W26" s="266">
        <v>8</v>
      </c>
      <c r="X26" s="239">
        <v>8</v>
      </c>
      <c r="Y26" s="239">
        <v>8</v>
      </c>
      <c r="Z26" s="265">
        <f t="shared" si="19"/>
        <v>24</v>
      </c>
      <c r="AA26" s="266">
        <v>8</v>
      </c>
      <c r="AB26" s="239">
        <v>8</v>
      </c>
      <c r="AC26" s="239">
        <v>8</v>
      </c>
      <c r="AD26" s="265">
        <f t="shared" si="20"/>
        <v>24</v>
      </c>
      <c r="AE26" s="266">
        <v>8</v>
      </c>
      <c r="AF26" s="239">
        <v>8</v>
      </c>
      <c r="AG26" s="239">
        <v>8</v>
      </c>
      <c r="AH26" s="265">
        <f t="shared" si="21"/>
        <v>24</v>
      </c>
      <c r="AI26" s="266">
        <v>8</v>
      </c>
      <c r="AJ26" s="239">
        <v>8</v>
      </c>
      <c r="AK26" s="239">
        <v>8</v>
      </c>
      <c r="AL26" s="265">
        <f t="shared" si="22"/>
        <v>24</v>
      </c>
      <c r="AM26" s="266">
        <v>8</v>
      </c>
      <c r="AN26" s="274">
        <f t="shared" ref="AN26" si="23">J26+N26+R26+V26+Z26+AD26+AH26+AL26</f>
        <v>192</v>
      </c>
      <c r="AO26" s="267">
        <f>IF(AN26=0,0,((J26*$C$114)+($D$114*N26)+(R26*$E$114)+(V26*$F$114)+($G$114*Z26)+(AD26*$H$115)+($I$116*AH26)+(AL26*$J$117)*G26))</f>
        <v>8736</v>
      </c>
      <c r="AP26" s="267">
        <f>IF(AN26=0,0,((K26*$C$114)+($D$114*O26)+(S26*$E$114)+(W26*$F$114)+($G$114*AA26)+(AE26*$H$115)+($I$116*AI26)+(AM26*$J$117)*G26))</f>
        <v>2912</v>
      </c>
      <c r="AQ26" s="267">
        <f>AL26*$J$117*G26</f>
        <v>432</v>
      </c>
      <c r="AR26" s="268">
        <f>AO26/$L$113</f>
        <v>4.3592814371257482</v>
      </c>
      <c r="AS26" s="268">
        <f t="shared" ref="AS26" si="24">AR26*0.09091</f>
        <v>0.39630227544910179</v>
      </c>
      <c r="AT26" s="268">
        <f t="shared" ref="AT26" si="25">AS26+AR26</f>
        <v>4.7555837125748504</v>
      </c>
      <c r="AU26" s="269">
        <f>$BD$13</f>
        <v>1303</v>
      </c>
      <c r="AV26" s="270">
        <f>AU26/160*$AV$13</f>
        <v>10.586875000000001</v>
      </c>
      <c r="AW26" s="271">
        <f>AV26*AO26</f>
        <v>92486.94</v>
      </c>
      <c r="AX26" s="268">
        <f>$AX$13*AV26*AP26</f>
        <v>15414.490000000002</v>
      </c>
      <c r="AY26" s="268">
        <f>AV26*AQ26</f>
        <v>4573.5300000000007</v>
      </c>
      <c r="AZ26" s="272">
        <f>AV26*$AZ$13*AO26</f>
        <v>2312.1735000000003</v>
      </c>
      <c r="BA26" s="268">
        <f t="shared" si="11"/>
        <v>114787.13350000001</v>
      </c>
      <c r="BB26" s="273">
        <f>((AW26+AX26+AY26+AZ26)*1.2359)+((AW26+AX26+AY26+AZ26)*$BD$19)+((AW26+AX26+AY26+AZ26)*$BE$19)+((AW26+AX26+AY26+AZ26)*$BF$19)</f>
        <v>180663.46941565003</v>
      </c>
      <c r="BC26" s="201"/>
      <c r="BD26" s="279"/>
      <c r="BE26" s="279"/>
      <c r="BF26" s="279"/>
      <c r="BG26" s="279"/>
      <c r="BH26" s="279"/>
      <c r="BI26" s="279"/>
      <c r="BJ26" s="279"/>
      <c r="BK26" s="279"/>
      <c r="BL26" s="279"/>
      <c r="BM26" s="279"/>
      <c r="BN26" s="279"/>
      <c r="BO26" s="279"/>
      <c r="BP26" s="279"/>
      <c r="BQ26" s="279"/>
      <c r="BR26" s="279"/>
      <c r="BS26" s="279"/>
      <c r="BT26" s="279"/>
      <c r="BU26" s="279"/>
      <c r="BV26" s="279"/>
      <c r="BW26" s="279"/>
      <c r="BX26" s="279"/>
      <c r="BY26" s="279"/>
      <c r="BZ26" s="279"/>
      <c r="CA26" s="279"/>
      <c r="CB26" s="279"/>
      <c r="CC26" s="279"/>
      <c r="CD26" s="279"/>
      <c r="CE26" s="279"/>
      <c r="CF26" s="279"/>
      <c r="CG26" s="279"/>
      <c r="CH26" s="279"/>
      <c r="CI26" s="279"/>
      <c r="CJ26" s="279"/>
    </row>
    <row r="27" spans="1:96" s="15" customFormat="1" ht="17.5" x14ac:dyDescent="0.35">
      <c r="A27" s="276"/>
      <c r="B27" s="275"/>
      <c r="C27" s="260"/>
      <c r="D27" s="261"/>
      <c r="E27" s="262"/>
      <c r="F27" s="262"/>
      <c r="G27" s="263"/>
      <c r="H27" s="264"/>
      <c r="I27" s="264"/>
      <c r="J27" s="282"/>
      <c r="K27" s="264"/>
      <c r="L27" s="264"/>
      <c r="M27" s="264"/>
      <c r="N27" s="282"/>
      <c r="O27" s="264"/>
      <c r="P27" s="264"/>
      <c r="Q27" s="264"/>
      <c r="R27" s="282"/>
      <c r="S27" s="264"/>
      <c r="T27" s="264"/>
      <c r="U27" s="264"/>
      <c r="V27" s="282"/>
      <c r="W27" s="264"/>
      <c r="X27" s="264"/>
      <c r="Y27" s="264"/>
      <c r="Z27" s="282"/>
      <c r="AA27" s="264"/>
      <c r="AB27" s="264"/>
      <c r="AC27" s="264"/>
      <c r="AD27" s="282"/>
      <c r="AE27" s="264"/>
      <c r="AF27" s="264"/>
      <c r="AG27" s="264"/>
      <c r="AH27" s="282"/>
      <c r="AI27" s="264"/>
      <c r="AJ27" s="264"/>
      <c r="AK27" s="264"/>
      <c r="AL27" s="282"/>
      <c r="AM27" s="264"/>
      <c r="AN27" s="264"/>
      <c r="AO27" s="267"/>
      <c r="AP27" s="267"/>
      <c r="AQ27" s="267"/>
      <c r="AR27" s="268"/>
      <c r="AS27" s="268"/>
      <c r="AT27" s="268"/>
      <c r="AU27" s="269"/>
      <c r="AV27" s="270"/>
      <c r="AW27" s="271"/>
      <c r="AX27" s="268"/>
      <c r="AY27" s="268"/>
      <c r="AZ27" s="272"/>
      <c r="BA27" s="268">
        <f t="shared" si="11"/>
        <v>0</v>
      </c>
      <c r="BB27" s="273"/>
      <c r="BC27" s="201"/>
      <c r="BD27" s="279"/>
      <c r="BE27" s="279"/>
      <c r="BF27" s="279"/>
      <c r="BG27" s="279"/>
      <c r="BH27" s="279"/>
      <c r="BI27" s="279"/>
      <c r="BJ27" s="279"/>
      <c r="BK27" s="279"/>
      <c r="BL27" s="279"/>
      <c r="BM27" s="279"/>
      <c r="BN27" s="279"/>
      <c r="BO27" s="279"/>
      <c r="BP27" s="279"/>
      <c r="BQ27" s="279"/>
      <c r="BR27" s="279"/>
      <c r="BS27" s="279"/>
      <c r="BT27" s="279"/>
      <c r="BU27" s="279"/>
      <c r="BV27" s="279"/>
      <c r="BW27" s="279"/>
      <c r="BX27" s="279"/>
      <c r="BY27" s="279"/>
      <c r="BZ27" s="279"/>
      <c r="CA27" s="279"/>
      <c r="CB27" s="279"/>
      <c r="CC27" s="279"/>
      <c r="CD27" s="279"/>
      <c r="CE27" s="279"/>
      <c r="CF27" s="279"/>
      <c r="CG27" s="279"/>
      <c r="CH27" s="279"/>
      <c r="CI27" s="279"/>
      <c r="CJ27" s="279"/>
    </row>
    <row r="28" spans="1:96" s="15" customFormat="1" ht="17.5" x14ac:dyDescent="0.35">
      <c r="A28" s="276"/>
      <c r="B28" s="275"/>
      <c r="C28" s="260"/>
      <c r="D28" s="261"/>
      <c r="E28" s="262"/>
      <c r="F28" s="262"/>
      <c r="G28" s="263"/>
      <c r="H28" s="264"/>
      <c r="I28" s="264"/>
      <c r="J28" s="282"/>
      <c r="K28" s="264"/>
      <c r="L28" s="264"/>
      <c r="M28" s="264"/>
      <c r="N28" s="282"/>
      <c r="O28" s="264"/>
      <c r="P28" s="264"/>
      <c r="Q28" s="264"/>
      <c r="R28" s="282"/>
      <c r="S28" s="264"/>
      <c r="T28" s="264"/>
      <c r="U28" s="264"/>
      <c r="V28" s="282"/>
      <c r="W28" s="264"/>
      <c r="X28" s="264"/>
      <c r="Y28" s="264"/>
      <c r="Z28" s="282"/>
      <c r="AA28" s="264"/>
      <c r="AB28" s="264"/>
      <c r="AC28" s="264"/>
      <c r="AD28" s="282"/>
      <c r="AE28" s="264"/>
      <c r="AF28" s="264"/>
      <c r="AG28" s="264"/>
      <c r="AH28" s="282"/>
      <c r="AI28" s="264"/>
      <c r="AJ28" s="264"/>
      <c r="AK28" s="264"/>
      <c r="AL28" s="282"/>
      <c r="AM28" s="264"/>
      <c r="AN28" s="264"/>
      <c r="AO28" s="267"/>
      <c r="AP28" s="267"/>
      <c r="AQ28" s="267"/>
      <c r="AR28" s="268"/>
      <c r="AS28" s="268"/>
      <c r="AT28" s="268"/>
      <c r="AU28" s="269"/>
      <c r="AV28" s="270"/>
      <c r="AW28" s="271"/>
      <c r="AX28" s="268"/>
      <c r="AY28" s="268"/>
      <c r="AZ28" s="272"/>
      <c r="BA28" s="268">
        <f t="shared" si="11"/>
        <v>0</v>
      </c>
      <c r="BB28" s="273"/>
      <c r="BC28" s="201"/>
      <c r="BD28" s="279"/>
      <c r="BE28" s="279"/>
      <c r="BF28" s="279"/>
      <c r="BG28" s="279"/>
      <c r="BH28" s="279"/>
      <c r="BI28" s="279"/>
      <c r="BJ28" s="279"/>
      <c r="BK28" s="279"/>
      <c r="BL28" s="279"/>
      <c r="BM28" s="279"/>
      <c r="BN28" s="279"/>
      <c r="BO28" s="279"/>
      <c r="BP28" s="279"/>
      <c r="BQ28" s="279"/>
      <c r="BR28" s="279"/>
      <c r="BS28" s="279"/>
      <c r="BT28" s="279"/>
      <c r="BU28" s="279"/>
      <c r="BV28" s="279"/>
      <c r="BW28" s="279"/>
      <c r="BX28" s="279"/>
      <c r="BY28" s="279"/>
      <c r="BZ28" s="279"/>
      <c r="CA28" s="279"/>
      <c r="CB28" s="279"/>
      <c r="CC28" s="279"/>
      <c r="CD28" s="279"/>
      <c r="CE28" s="279"/>
      <c r="CF28" s="279"/>
      <c r="CG28" s="279"/>
      <c r="CH28" s="279"/>
      <c r="CI28" s="279"/>
      <c r="CJ28" s="279"/>
    </row>
    <row r="29" spans="1:96" s="15" customFormat="1" ht="17.5" x14ac:dyDescent="0.35">
      <c r="A29" s="276"/>
      <c r="B29" s="275"/>
      <c r="C29" s="260"/>
      <c r="D29" s="261"/>
      <c r="E29" s="262"/>
      <c r="F29" s="262"/>
      <c r="G29" s="263"/>
      <c r="H29" s="264"/>
      <c r="I29" s="264"/>
      <c r="J29" s="282"/>
      <c r="K29" s="264"/>
      <c r="L29" s="264"/>
      <c r="M29" s="264"/>
      <c r="N29" s="282"/>
      <c r="O29" s="264"/>
      <c r="P29" s="264"/>
      <c r="Q29" s="264"/>
      <c r="R29" s="282"/>
      <c r="S29" s="264"/>
      <c r="T29" s="264"/>
      <c r="U29" s="264"/>
      <c r="V29" s="282"/>
      <c r="W29" s="264"/>
      <c r="X29" s="264"/>
      <c r="Y29" s="264"/>
      <c r="Z29" s="282"/>
      <c r="AA29" s="264"/>
      <c r="AB29" s="264"/>
      <c r="AC29" s="264"/>
      <c r="AD29" s="282"/>
      <c r="AE29" s="264"/>
      <c r="AF29" s="264"/>
      <c r="AG29" s="264"/>
      <c r="AH29" s="282"/>
      <c r="AI29" s="264"/>
      <c r="AJ29" s="264"/>
      <c r="AK29" s="264"/>
      <c r="AL29" s="282"/>
      <c r="AM29" s="264"/>
      <c r="AN29" s="264"/>
      <c r="AO29" s="267"/>
      <c r="AP29" s="267"/>
      <c r="AQ29" s="267"/>
      <c r="AR29" s="268"/>
      <c r="AS29" s="268"/>
      <c r="AT29" s="268"/>
      <c r="AU29" s="269"/>
      <c r="AV29" s="270"/>
      <c r="AW29" s="271"/>
      <c r="AX29" s="268"/>
      <c r="AY29" s="268"/>
      <c r="AZ29" s="272"/>
      <c r="BA29" s="268">
        <f t="shared" si="11"/>
        <v>0</v>
      </c>
      <c r="BB29" s="273"/>
      <c r="BC29" s="201"/>
      <c r="BD29" s="279"/>
      <c r="BE29" s="279"/>
      <c r="BF29" s="279"/>
      <c r="BG29" s="279"/>
      <c r="BH29" s="279"/>
      <c r="BI29" s="279"/>
      <c r="BJ29" s="279"/>
      <c r="BK29" s="279"/>
      <c r="BL29" s="279"/>
      <c r="BM29" s="279"/>
      <c r="BN29" s="279"/>
      <c r="BO29" s="279"/>
      <c r="BP29" s="279"/>
      <c r="BQ29" s="279"/>
      <c r="BR29" s="279"/>
      <c r="BS29" s="279"/>
      <c r="BT29" s="279"/>
      <c r="BU29" s="279"/>
      <c r="BV29" s="279"/>
      <c r="BW29" s="279"/>
      <c r="BX29" s="279"/>
      <c r="BY29" s="279"/>
      <c r="BZ29" s="279"/>
      <c r="CA29" s="279"/>
      <c r="CB29" s="279"/>
      <c r="CC29" s="279"/>
      <c r="CD29" s="279"/>
      <c r="CE29" s="279"/>
      <c r="CF29" s="279"/>
      <c r="CG29" s="279"/>
      <c r="CH29" s="279"/>
      <c r="CI29" s="279"/>
      <c r="CJ29" s="279"/>
    </row>
    <row r="30" spans="1:96" ht="17.5" x14ac:dyDescent="0.35">
      <c r="A30" s="397" t="s">
        <v>141</v>
      </c>
      <c r="B30" s="204" t="s">
        <v>174</v>
      </c>
      <c r="C30" s="260"/>
      <c r="D30" s="261"/>
      <c r="E30" s="262"/>
      <c r="F30" s="262"/>
      <c r="G30" s="263">
        <v>1</v>
      </c>
      <c r="H30" s="264"/>
      <c r="I30" s="264"/>
      <c r="J30" s="265"/>
      <c r="K30" s="266"/>
      <c r="L30" s="264"/>
      <c r="M30" s="264"/>
      <c r="N30" s="265"/>
      <c r="O30" s="266"/>
      <c r="P30" s="264"/>
      <c r="Q30" s="264"/>
      <c r="R30" s="265"/>
      <c r="S30" s="266"/>
      <c r="T30" s="264"/>
      <c r="U30" s="264"/>
      <c r="V30" s="265"/>
      <c r="W30" s="266"/>
      <c r="X30" s="264"/>
      <c r="Y30" s="264"/>
      <c r="Z30" s="265"/>
      <c r="AA30" s="266"/>
      <c r="AB30" s="264">
        <v>8</v>
      </c>
      <c r="AC30" s="264">
        <v>16</v>
      </c>
      <c r="AD30" s="265">
        <f t="shared" ref="AD30" si="26">IF(AB30="",0,IF((AC30-AB30&lt;=0),(24-AB30+AC30),(AC30-AB30)))</f>
        <v>8</v>
      </c>
      <c r="AE30" s="266"/>
      <c r="AF30" s="264">
        <v>8</v>
      </c>
      <c r="AG30" s="264">
        <v>16</v>
      </c>
      <c r="AH30" s="265">
        <f t="shared" ref="AH30" si="27">IF(AF30="",0,IF((AG30-AF30&lt;=0),(24-AF30+AG30),(AG30-AF30)))</f>
        <v>8</v>
      </c>
      <c r="AI30" s="266"/>
      <c r="AJ30" s="264">
        <v>8</v>
      </c>
      <c r="AK30" s="264">
        <v>16</v>
      </c>
      <c r="AL30" s="265">
        <f t="shared" ref="AL30" si="28">IF(AJ30="",0,IF((AK30-AJ30&lt;=0),(24-AJ30+AK30),(AK30-AJ30)))</f>
        <v>8</v>
      </c>
      <c r="AM30" s="266"/>
      <c r="AN30" s="264">
        <f>J30+N30+R30+V30+Z30+AD30+AH30+AL30</f>
        <v>24</v>
      </c>
      <c r="AO30" s="267">
        <f>IF(AN30=0,0,((J30*$C$114)+($D$114*N30)+(R30*$E$114)+(V30*$F$114)+($G$114*Z30)+(AD30*$H$115)+($I$116*AH30)+(AL30*$J$117)*G30))</f>
        <v>912</v>
      </c>
      <c r="AP30" s="267">
        <f>IF(AN30=0,0,((K30*$C$114)+($D$114*O30)+(S30*$E$114)+(W30*$F$114)+($G$114*AA30)+(AE30*$H$115)+($I$116*AI30)+(AM30*$J$117)*G30))</f>
        <v>0</v>
      </c>
      <c r="AQ30" s="267">
        <f>AL30*$J$117*G30</f>
        <v>144</v>
      </c>
      <c r="AR30" s="268">
        <f>AO30/$L$113</f>
        <v>0.45508982035928142</v>
      </c>
      <c r="AS30" s="268">
        <f>AR30*0.09091</f>
        <v>4.1372215568862274E-2</v>
      </c>
      <c r="AT30" s="268">
        <f>AS30+AR30</f>
        <v>0.4964620359281437</v>
      </c>
      <c r="AU30" s="269">
        <f>$BD$14</f>
        <v>865</v>
      </c>
      <c r="AV30" s="270">
        <f>AU30/160</f>
        <v>5.40625</v>
      </c>
      <c r="AW30" s="271">
        <f>AV30*AO30</f>
        <v>4930.5</v>
      </c>
      <c r="AX30" s="268">
        <f>$AX$13*AV30*AP30</f>
        <v>0</v>
      </c>
      <c r="AY30" s="268">
        <f>AV30*AQ30</f>
        <v>778.5</v>
      </c>
      <c r="AZ30" s="272">
        <f>AV30*$AZ$13*AO30</f>
        <v>123.2625</v>
      </c>
      <c r="BA30" s="268">
        <f t="shared" si="11"/>
        <v>5832.2624999999998</v>
      </c>
      <c r="BB30" s="273">
        <f>(AW30+AX30+AY30+AZ30)*1.2359</f>
        <v>7208.0932237500001</v>
      </c>
    </row>
    <row r="31" spans="1:96" ht="17.5" x14ac:dyDescent="0.35">
      <c r="A31" s="397"/>
      <c r="B31" s="204" t="s">
        <v>175</v>
      </c>
      <c r="C31" s="260"/>
      <c r="D31" s="261"/>
      <c r="E31" s="262"/>
      <c r="F31" s="262"/>
      <c r="G31" s="263">
        <v>1</v>
      </c>
      <c r="H31" s="264">
        <v>16</v>
      </c>
      <c r="I31" s="264">
        <v>8</v>
      </c>
      <c r="J31" s="265">
        <f t="shared" ref="J31:J33" si="29">IF(H31="",0,IF((I31-H31&lt;=0),(24-H31+I31),(I31-H31)))</f>
        <v>16</v>
      </c>
      <c r="K31" s="266">
        <v>8</v>
      </c>
      <c r="L31" s="239">
        <v>16</v>
      </c>
      <c r="M31" s="239">
        <v>8</v>
      </c>
      <c r="N31" s="265">
        <f t="shared" ref="N31:N33" si="30">IF(L31="",0,IF((M31-L31&lt;=0),(24-L31+M31),(M31-L31)))</f>
        <v>16</v>
      </c>
      <c r="O31" s="266">
        <v>8</v>
      </c>
      <c r="P31" s="239">
        <v>16</v>
      </c>
      <c r="Q31" s="239">
        <v>8</v>
      </c>
      <c r="R31" s="265">
        <f t="shared" ref="R31:R33" si="31">IF(P31="",0,IF((Q31-P31&lt;=0),(24-P31+Q31),(Q31-P31)))</f>
        <v>16</v>
      </c>
      <c r="S31" s="266">
        <v>8</v>
      </c>
      <c r="T31" s="239">
        <v>16</v>
      </c>
      <c r="U31" s="239">
        <v>8</v>
      </c>
      <c r="V31" s="265">
        <f t="shared" ref="V31:V33" si="32">IF(T31="",0,IF((U31-T31&lt;=0),(24-T31+U31),(U31-T31)))</f>
        <v>16</v>
      </c>
      <c r="W31" s="266">
        <v>8</v>
      </c>
      <c r="X31" s="239">
        <v>16</v>
      </c>
      <c r="Y31" s="239">
        <v>8</v>
      </c>
      <c r="Z31" s="265">
        <f t="shared" ref="Z31:Z33" si="33">IF(X31="",0,IF((Y31-X31&lt;=0),(24-X31+Y31),(Y31-X31)))</f>
        <v>16</v>
      </c>
      <c r="AA31" s="266">
        <v>8</v>
      </c>
      <c r="AB31" s="239"/>
      <c r="AC31" s="239"/>
      <c r="AD31" s="265"/>
      <c r="AE31" s="266"/>
      <c r="AF31" s="239"/>
      <c r="AG31" s="239"/>
      <c r="AH31" s="265"/>
      <c r="AI31" s="266"/>
      <c r="AJ31" s="239"/>
      <c r="AK31" s="239"/>
      <c r="AL31" s="265"/>
      <c r="AM31" s="266"/>
      <c r="AN31" s="283">
        <f t="shared" ref="AN31:AN33" si="34">J31+N31+R31+V31+Z31+AD31+AH31+AL31</f>
        <v>80</v>
      </c>
      <c r="AO31" s="267">
        <f>IF(AN31=0,0,((J31*$C$114)+($D$114*N31)+(R31*$E$114)+(V31*$F$114)+($G$114*Z31)+(AD31*$H$115)+($I$116*AH31)+(AL31*$J$117)*G31))</f>
        <v>4000</v>
      </c>
      <c r="AP31" s="267">
        <f>IF(AN31=0,0,((K31*$C$114)+($D$114*O31)+(S31*$E$114)+(W31*$F$114)+($G$114*AA31)+(AE31*$H$115)+($I$116*AI31)+(AM31*$J$117)*G31))</f>
        <v>2000</v>
      </c>
      <c r="AQ31" s="267">
        <f>AL31*$J$117*G31</f>
        <v>0</v>
      </c>
      <c r="AR31" s="268">
        <f>AO31/$L$113</f>
        <v>1.996007984031936</v>
      </c>
      <c r="AS31" s="268">
        <f>AR31*0.09091</f>
        <v>0.1814570858283433</v>
      </c>
      <c r="AT31" s="268">
        <f>AS31+AR31</f>
        <v>2.1774650698602791</v>
      </c>
      <c r="AU31" s="269">
        <f t="shared" ref="AU31:AU33" si="35">$BD$14</f>
        <v>865</v>
      </c>
      <c r="AV31" s="270">
        <f t="shared" ref="AV31:AV33" si="36">AU31/160</f>
        <v>5.40625</v>
      </c>
      <c r="AW31" s="271">
        <f>AV31*AO31</f>
        <v>21625</v>
      </c>
      <c r="AX31" s="268">
        <f>$AX$13*AV31*AP31</f>
        <v>5406.25</v>
      </c>
      <c r="AY31" s="268">
        <f>AV31*AQ31</f>
        <v>0</v>
      </c>
      <c r="AZ31" s="272">
        <f>AV31*$AZ$13*AO31</f>
        <v>540.625</v>
      </c>
      <c r="BA31" s="268">
        <f t="shared" si="11"/>
        <v>27571.875</v>
      </c>
      <c r="BB31" s="273">
        <f>(AW31+AX31+AY31+AZ31)*1.2359</f>
        <v>34076.080312500002</v>
      </c>
    </row>
    <row r="32" spans="1:96" ht="30" x14ac:dyDescent="0.35">
      <c r="A32" s="397"/>
      <c r="B32" s="275" t="s">
        <v>96</v>
      </c>
      <c r="C32" s="260"/>
      <c r="D32" s="261"/>
      <c r="E32" s="262"/>
      <c r="F32" s="262"/>
      <c r="G32" s="263">
        <v>1</v>
      </c>
      <c r="H32" s="264">
        <v>9</v>
      </c>
      <c r="I32" s="264">
        <v>21</v>
      </c>
      <c r="J32" s="265">
        <f t="shared" si="29"/>
        <v>12</v>
      </c>
      <c r="K32" s="266">
        <v>0</v>
      </c>
      <c r="L32" s="239">
        <v>9</v>
      </c>
      <c r="M32" s="239">
        <v>21</v>
      </c>
      <c r="N32" s="265">
        <f t="shared" si="30"/>
        <v>12</v>
      </c>
      <c r="O32" s="266">
        <v>0</v>
      </c>
      <c r="P32" s="239">
        <v>9</v>
      </c>
      <c r="Q32" s="239">
        <v>21</v>
      </c>
      <c r="R32" s="265">
        <f t="shared" si="31"/>
        <v>12</v>
      </c>
      <c r="S32" s="266">
        <v>0</v>
      </c>
      <c r="T32" s="239">
        <v>9</v>
      </c>
      <c r="U32" s="239">
        <v>21</v>
      </c>
      <c r="V32" s="265">
        <f t="shared" si="32"/>
        <v>12</v>
      </c>
      <c r="W32" s="266">
        <v>0</v>
      </c>
      <c r="X32" s="239">
        <v>9</v>
      </c>
      <c r="Y32" s="239">
        <v>21</v>
      </c>
      <c r="Z32" s="265">
        <f t="shared" si="33"/>
        <v>12</v>
      </c>
      <c r="AA32" s="266">
        <v>0</v>
      </c>
      <c r="AB32" s="239"/>
      <c r="AC32" s="239"/>
      <c r="AD32" s="265">
        <f t="shared" ref="AD32:AD33" si="37">IF(AB32="",0,IF((AC32-AB32&lt;=0),(24-AB32+AC32),(AC32-AB32)))</f>
        <v>0</v>
      </c>
      <c r="AE32" s="266">
        <v>0</v>
      </c>
      <c r="AF32" s="239"/>
      <c r="AG32" s="239"/>
      <c r="AH32" s="265">
        <f t="shared" ref="AH32:AH33" si="38">IF(AF32="",0,IF((AG32-AF32&lt;=0),(24-AF32+AG32),(AG32-AF32)))</f>
        <v>0</v>
      </c>
      <c r="AI32" s="266">
        <v>0</v>
      </c>
      <c r="AJ32" s="239">
        <v>9</v>
      </c>
      <c r="AK32" s="239">
        <v>21</v>
      </c>
      <c r="AL32" s="265">
        <f t="shared" ref="AL32:AL33" si="39">IF(AJ32="",0,IF((AK32-AJ32&lt;=0),(24-AJ32+AK32),(AK32-AJ32)))</f>
        <v>12</v>
      </c>
      <c r="AM32" s="266">
        <v>0</v>
      </c>
      <c r="AN32" s="283">
        <f t="shared" si="34"/>
        <v>72</v>
      </c>
      <c r="AO32" s="267">
        <f>IF(AN32=0,0,((J32*$C$114)+($D$114*N32)+(R32*$E$114)+(V32*$F$114)+($G$114*Z32)+(AD32*$H$115)+($I$116*AH32)+(AL32*$J$117)*G32))</f>
        <v>3216</v>
      </c>
      <c r="AP32" s="267">
        <f>IF(AN32=0,0,((K32*$C$114)+($D$114*O32)+(S32*$E$114)+(W32*$F$114)+($G$114*AA32)+(AE32*$H$115)+($I$116*AI32)+(AM32*$J$117)*G32))</f>
        <v>0</v>
      </c>
      <c r="AQ32" s="267">
        <f>AL32*$J$117*G32</f>
        <v>216</v>
      </c>
      <c r="AR32" s="268">
        <f>AO32/$L$113</f>
        <v>1.6047904191616766</v>
      </c>
      <c r="AS32" s="268">
        <f>AR32*0.09091</f>
        <v>0.14589149700598802</v>
      </c>
      <c r="AT32" s="268">
        <f>AS32+AR32</f>
        <v>1.7506819161676646</v>
      </c>
      <c r="AU32" s="269">
        <f t="shared" si="35"/>
        <v>865</v>
      </c>
      <c r="AV32" s="270">
        <f t="shared" si="36"/>
        <v>5.40625</v>
      </c>
      <c r="AW32" s="271">
        <f>AV32*AO32</f>
        <v>17386.5</v>
      </c>
      <c r="AX32" s="268">
        <f>$AX$13*AV32*AP32</f>
        <v>0</v>
      </c>
      <c r="AY32" s="268">
        <f>AV32*AQ32</f>
        <v>1167.75</v>
      </c>
      <c r="AZ32" s="272">
        <f>AV32*$AZ$13*AO32</f>
        <v>434.66250000000002</v>
      </c>
      <c r="BA32" s="268">
        <f t="shared" si="11"/>
        <v>18988.912499999999</v>
      </c>
      <c r="BB32" s="273">
        <f>(AW32+AX32+AY32+AZ32)*1.2359</f>
        <v>23468.39695875</v>
      </c>
    </row>
    <row r="33" spans="1:92" s="15" customFormat="1" ht="30" x14ac:dyDescent="0.35">
      <c r="A33" s="276"/>
      <c r="B33" s="275" t="s">
        <v>100</v>
      </c>
      <c r="C33" s="260"/>
      <c r="D33" s="261"/>
      <c r="E33" s="262"/>
      <c r="F33" s="262"/>
      <c r="G33" s="277">
        <v>1</v>
      </c>
      <c r="H33" s="239">
        <v>8</v>
      </c>
      <c r="I33" s="239">
        <v>8</v>
      </c>
      <c r="J33" s="265">
        <f t="shared" si="29"/>
        <v>24</v>
      </c>
      <c r="K33" s="266">
        <v>8</v>
      </c>
      <c r="L33" s="239">
        <v>8</v>
      </c>
      <c r="M33" s="239">
        <v>8</v>
      </c>
      <c r="N33" s="265">
        <f t="shared" si="30"/>
        <v>24</v>
      </c>
      <c r="O33" s="266">
        <v>8</v>
      </c>
      <c r="P33" s="239">
        <v>8</v>
      </c>
      <c r="Q33" s="239">
        <v>8</v>
      </c>
      <c r="R33" s="265">
        <f t="shared" si="31"/>
        <v>24</v>
      </c>
      <c r="S33" s="266">
        <v>8</v>
      </c>
      <c r="T33" s="239">
        <v>8</v>
      </c>
      <c r="U33" s="239">
        <v>8</v>
      </c>
      <c r="V33" s="265">
        <f t="shared" si="32"/>
        <v>24</v>
      </c>
      <c r="W33" s="266">
        <v>8</v>
      </c>
      <c r="X33" s="239">
        <v>8</v>
      </c>
      <c r="Y33" s="239">
        <v>8</v>
      </c>
      <c r="Z33" s="265">
        <f t="shared" si="33"/>
        <v>24</v>
      </c>
      <c r="AA33" s="266">
        <v>8</v>
      </c>
      <c r="AB33" s="239">
        <v>8</v>
      </c>
      <c r="AC33" s="239">
        <v>8</v>
      </c>
      <c r="AD33" s="265">
        <f t="shared" si="37"/>
        <v>24</v>
      </c>
      <c r="AE33" s="266">
        <v>8</v>
      </c>
      <c r="AF33" s="239">
        <v>8</v>
      </c>
      <c r="AG33" s="239">
        <v>8</v>
      </c>
      <c r="AH33" s="265">
        <f t="shared" si="38"/>
        <v>24</v>
      </c>
      <c r="AI33" s="266">
        <v>8</v>
      </c>
      <c r="AJ33" s="239">
        <v>8</v>
      </c>
      <c r="AK33" s="239">
        <v>8</v>
      </c>
      <c r="AL33" s="265">
        <f t="shared" si="39"/>
        <v>24</v>
      </c>
      <c r="AM33" s="266">
        <v>8</v>
      </c>
      <c r="AN33" s="283">
        <f t="shared" si="34"/>
        <v>192</v>
      </c>
      <c r="AO33" s="267">
        <f>IF(AN33=0,0,((J33*$C$114)+($D$114*N33)+(R33*$E$114)+(V33*$F$114)+($G$114*Z33)+(AD33*$H$115)+($I$116*AH33)+(AL33*$J$117)*G33))</f>
        <v>8736</v>
      </c>
      <c r="AP33" s="267">
        <f>IF(AN33=0,0,((K33*$C$114)+($D$114*O33)+(S33*$E$114)+(W33*$F$114)+($G$114*AA33)+(AE33*$H$115)+($I$116*AI33)+(AM33*$J$117)*G33))</f>
        <v>2912</v>
      </c>
      <c r="AQ33" s="267">
        <f>AL33*$J$117*G33</f>
        <v>432</v>
      </c>
      <c r="AR33" s="268">
        <f>AO33/$L$113</f>
        <v>4.3592814371257482</v>
      </c>
      <c r="AS33" s="268">
        <f t="shared" ref="AS33" si="40">AR33*0.09091</f>
        <v>0.39630227544910179</v>
      </c>
      <c r="AT33" s="268">
        <f t="shared" ref="AT33" si="41">AS33+AR33</f>
        <v>4.7555837125748504</v>
      </c>
      <c r="AU33" s="269">
        <f t="shared" si="35"/>
        <v>865</v>
      </c>
      <c r="AV33" s="270">
        <f t="shared" si="36"/>
        <v>5.40625</v>
      </c>
      <c r="AW33" s="271">
        <f>AV33*AO33</f>
        <v>47229</v>
      </c>
      <c r="AX33" s="268">
        <f>$AX$13*AV33*AP33</f>
        <v>7871.5</v>
      </c>
      <c r="AY33" s="268">
        <f>AV33*AQ33</f>
        <v>2335.5</v>
      </c>
      <c r="AZ33" s="272">
        <f>AV33*$AZ$13*AO33</f>
        <v>1180.7250000000001</v>
      </c>
      <c r="BA33" s="268">
        <f t="shared" si="11"/>
        <v>58616.724999999999</v>
      </c>
      <c r="BB33" s="273">
        <f>((AW33+AX33+AY33+AZ33)*1.2359)+((AW33+AX33+AY33+AZ33)*$BD$19)+((AW33+AX33+AY33+AZ33)*$BE$19)+((AW33+AX33+AY33+AZ33)*$BF$19)</f>
        <v>92256.863477499995</v>
      </c>
      <c r="BC33" s="201"/>
      <c r="BD33" s="279"/>
      <c r="BE33" s="279"/>
      <c r="BF33" s="279"/>
      <c r="BG33" s="279"/>
      <c r="BH33" s="279"/>
      <c r="BI33" s="279"/>
      <c r="BJ33" s="279"/>
      <c r="BK33" s="279"/>
      <c r="BL33" s="279"/>
      <c r="BM33" s="279"/>
      <c r="BN33" s="279"/>
      <c r="BO33" s="279"/>
      <c r="BP33" s="279"/>
      <c r="BQ33" s="279"/>
      <c r="BR33" s="279"/>
      <c r="BS33" s="279"/>
      <c r="BT33" s="279"/>
      <c r="BU33" s="279"/>
      <c r="BV33" s="279"/>
      <c r="BW33" s="279"/>
      <c r="BX33" s="279"/>
      <c r="BY33" s="279"/>
      <c r="BZ33" s="279"/>
      <c r="CA33" s="279"/>
      <c r="CB33" s="279"/>
      <c r="CC33" s="279"/>
      <c r="CD33" s="279"/>
      <c r="CE33" s="279"/>
      <c r="CF33" s="279"/>
      <c r="CG33" s="279"/>
      <c r="CH33" s="279"/>
      <c r="CI33" s="279"/>
      <c r="CJ33" s="279"/>
    </row>
    <row r="34" spans="1:92" s="15" customFormat="1" ht="17.5" x14ac:dyDescent="0.35">
      <c r="A34" s="276"/>
      <c r="B34" s="275"/>
      <c r="C34" s="260"/>
      <c r="D34" s="261"/>
      <c r="E34" s="262"/>
      <c r="F34" s="262"/>
      <c r="G34" s="263"/>
      <c r="H34" s="264"/>
      <c r="I34" s="264"/>
      <c r="J34" s="282"/>
      <c r="K34" s="264"/>
      <c r="L34" s="264"/>
      <c r="M34" s="264"/>
      <c r="N34" s="282"/>
      <c r="O34" s="264"/>
      <c r="P34" s="264"/>
      <c r="Q34" s="264"/>
      <c r="R34" s="282"/>
      <c r="S34" s="264"/>
      <c r="T34" s="264"/>
      <c r="U34" s="264"/>
      <c r="V34" s="282"/>
      <c r="W34" s="264"/>
      <c r="X34" s="264"/>
      <c r="Y34" s="264"/>
      <c r="Z34" s="282"/>
      <c r="AA34" s="264"/>
      <c r="AB34" s="264"/>
      <c r="AC34" s="264"/>
      <c r="AD34" s="282"/>
      <c r="AE34" s="264"/>
      <c r="AF34" s="264"/>
      <c r="AG34" s="264"/>
      <c r="AH34" s="282"/>
      <c r="AI34" s="264"/>
      <c r="AJ34" s="264"/>
      <c r="AK34" s="264"/>
      <c r="AL34" s="282"/>
      <c r="AM34" s="264"/>
      <c r="AN34" s="264"/>
      <c r="AO34" s="267"/>
      <c r="AP34" s="267"/>
      <c r="AQ34" s="267"/>
      <c r="AR34" s="268"/>
      <c r="AS34" s="268"/>
      <c r="AT34" s="268"/>
      <c r="AU34" s="269"/>
      <c r="AV34" s="270"/>
      <c r="AW34" s="271"/>
      <c r="AX34" s="268"/>
      <c r="AY34" s="268"/>
      <c r="AZ34" s="272"/>
      <c r="BA34" s="268">
        <f t="shared" si="11"/>
        <v>0</v>
      </c>
      <c r="BB34" s="201"/>
      <c r="BC34" s="279"/>
      <c r="BD34" s="279"/>
      <c r="BE34" s="279"/>
      <c r="BF34" s="279"/>
      <c r="BG34" s="279"/>
      <c r="BH34" s="279"/>
      <c r="BI34" s="279"/>
      <c r="BJ34" s="279"/>
      <c r="BK34" s="279"/>
      <c r="BL34" s="279"/>
      <c r="BM34" s="279"/>
      <c r="BN34" s="279"/>
      <c r="BO34" s="279"/>
      <c r="BP34" s="279"/>
      <c r="BQ34" s="279"/>
      <c r="BR34" s="279"/>
      <c r="BS34" s="279"/>
      <c r="BT34" s="279"/>
      <c r="BU34" s="279"/>
      <c r="BV34" s="279"/>
      <c r="BW34" s="279"/>
      <c r="BX34" s="279"/>
      <c r="BY34" s="279"/>
      <c r="BZ34" s="279"/>
      <c r="CA34" s="279"/>
      <c r="CB34" s="279"/>
      <c r="CC34" s="279"/>
      <c r="CD34" s="279"/>
      <c r="CE34" s="279"/>
      <c r="CF34" s="279"/>
      <c r="CG34" s="279"/>
      <c r="CH34" s="279"/>
      <c r="CI34" s="279"/>
      <c r="CJ34" s="279"/>
    </row>
    <row r="35" spans="1:92" s="15" customFormat="1" thickBot="1" x14ac:dyDescent="0.4">
      <c r="A35" s="284"/>
      <c r="B35" s="285"/>
      <c r="C35" s="286"/>
      <c r="D35" s="287"/>
      <c r="E35" s="288"/>
      <c r="F35" s="288"/>
      <c r="G35" s="289"/>
      <c r="H35" s="290"/>
      <c r="I35" s="290"/>
      <c r="J35" s="291"/>
      <c r="K35" s="290"/>
      <c r="L35" s="290"/>
      <c r="M35" s="290"/>
      <c r="N35" s="291"/>
      <c r="O35" s="290"/>
      <c r="P35" s="290"/>
      <c r="Q35" s="290"/>
      <c r="R35" s="291"/>
      <c r="S35" s="290"/>
      <c r="T35" s="290"/>
      <c r="U35" s="290"/>
      <c r="V35" s="291"/>
      <c r="W35" s="290"/>
      <c r="X35" s="290"/>
      <c r="Y35" s="290"/>
      <c r="Z35" s="291"/>
      <c r="AA35" s="290"/>
      <c r="AB35" s="290"/>
      <c r="AC35" s="290"/>
      <c r="AD35" s="291"/>
      <c r="AE35" s="290"/>
      <c r="AF35" s="290"/>
      <c r="AG35" s="290"/>
      <c r="AH35" s="291"/>
      <c r="AI35" s="290"/>
      <c r="AJ35" s="290"/>
      <c r="AK35" s="290"/>
      <c r="AL35" s="291"/>
      <c r="AM35" s="290"/>
      <c r="AN35" s="290"/>
      <c r="AO35" s="292"/>
      <c r="AP35" s="292"/>
      <c r="AQ35" s="292"/>
      <c r="AR35" s="293"/>
      <c r="AS35" s="293"/>
      <c r="AT35" s="293"/>
      <c r="AU35" s="294"/>
      <c r="AV35" s="295"/>
      <c r="AW35" s="296"/>
      <c r="AX35" s="293"/>
      <c r="AY35" s="293"/>
      <c r="AZ35" s="297"/>
      <c r="BA35" s="268">
        <f t="shared" si="11"/>
        <v>0</v>
      </c>
      <c r="BB35" s="201"/>
      <c r="BC35" s="279"/>
      <c r="BD35" s="279"/>
      <c r="BE35" s="279"/>
      <c r="BF35" s="279"/>
      <c r="BG35" s="279"/>
      <c r="BH35" s="279"/>
      <c r="BI35" s="279"/>
      <c r="BJ35" s="279"/>
      <c r="BK35" s="279"/>
      <c r="BL35" s="279"/>
      <c r="BM35" s="279"/>
      <c r="BN35" s="279"/>
      <c r="BO35" s="279"/>
      <c r="BP35" s="279"/>
      <c r="BQ35" s="279"/>
      <c r="BR35" s="279"/>
      <c r="BS35" s="279"/>
      <c r="BT35" s="279"/>
      <c r="BU35" s="279"/>
      <c r="BV35" s="279"/>
      <c r="BW35" s="279"/>
      <c r="BX35" s="279"/>
      <c r="BY35" s="279"/>
      <c r="BZ35" s="279"/>
      <c r="CA35" s="279"/>
      <c r="CB35" s="279"/>
      <c r="CC35" s="279"/>
      <c r="CD35" s="279"/>
      <c r="CE35" s="279"/>
      <c r="CF35" s="279"/>
      <c r="CG35" s="279"/>
      <c r="CH35" s="279"/>
      <c r="CI35" s="279"/>
      <c r="CJ35" s="279"/>
    </row>
    <row r="36" spans="1:92" s="11" customFormat="1" ht="31" thickBot="1" x14ac:dyDescent="0.4">
      <c r="A36" s="229"/>
      <c r="B36" s="298" t="s">
        <v>142</v>
      </c>
      <c r="C36" s="231"/>
      <c r="D36" s="232"/>
      <c r="E36" s="232"/>
      <c r="F36" s="232"/>
      <c r="G36" s="233"/>
      <c r="H36" s="234" t="s">
        <v>104</v>
      </c>
      <c r="I36" s="235"/>
      <c r="J36" s="235"/>
      <c r="K36" s="235"/>
      <c r="L36" s="235" t="s">
        <v>105</v>
      </c>
      <c r="M36" s="235"/>
      <c r="N36" s="235"/>
      <c r="O36" s="235"/>
      <c r="P36" s="235" t="s">
        <v>106</v>
      </c>
      <c r="Q36" s="235"/>
      <c r="R36" s="235"/>
      <c r="S36" s="235"/>
      <c r="T36" s="235" t="s">
        <v>107</v>
      </c>
      <c r="U36" s="235"/>
      <c r="V36" s="235"/>
      <c r="W36" s="235"/>
      <c r="X36" s="235" t="s">
        <v>108</v>
      </c>
      <c r="Y36" s="235"/>
      <c r="Z36" s="235"/>
      <c r="AA36" s="235"/>
      <c r="AB36" s="236" t="s">
        <v>109</v>
      </c>
      <c r="AC36" s="236"/>
      <c r="AD36" s="236"/>
      <c r="AE36" s="236"/>
      <c r="AF36" s="236" t="s">
        <v>110</v>
      </c>
      <c r="AG36" s="236"/>
      <c r="AH36" s="236"/>
      <c r="AI36" s="236"/>
      <c r="AJ36" s="237" t="s">
        <v>111</v>
      </c>
      <c r="AK36" s="237"/>
      <c r="AL36" s="237"/>
      <c r="AM36" s="238"/>
      <c r="AN36" s="239"/>
      <c r="AO36" s="240" t="s">
        <v>112</v>
      </c>
      <c r="AP36" s="240"/>
      <c r="AQ36" s="240"/>
      <c r="AR36" s="225"/>
      <c r="AS36" s="225"/>
      <c r="AT36" s="225"/>
      <c r="AU36" s="225"/>
      <c r="AV36" s="225"/>
      <c r="AW36" s="225"/>
      <c r="AX36" s="225"/>
      <c r="AY36" s="225"/>
      <c r="AZ36" s="225"/>
      <c r="BA36" s="268">
        <f t="shared" si="11"/>
        <v>0</v>
      </c>
      <c r="BB36" s="225"/>
      <c r="BC36" s="226"/>
      <c r="BD36" s="225"/>
      <c r="BE36" s="225"/>
      <c r="BF36" s="225"/>
      <c r="BG36" s="225"/>
      <c r="BH36" s="225"/>
      <c r="BI36" s="225"/>
      <c r="BJ36" s="225"/>
      <c r="BK36" s="225"/>
      <c r="BL36" s="225"/>
      <c r="BM36" s="225"/>
      <c r="BN36" s="225"/>
      <c r="BO36" s="225"/>
      <c r="BP36" s="225"/>
      <c r="BQ36" s="225"/>
      <c r="BR36" s="225"/>
      <c r="BS36" s="225"/>
      <c r="BT36" s="225"/>
      <c r="BU36" s="225"/>
      <c r="BV36" s="225"/>
      <c r="BW36" s="225"/>
      <c r="BX36" s="225"/>
      <c r="BY36" s="225"/>
      <c r="BZ36" s="225"/>
      <c r="CA36" s="225"/>
      <c r="CB36" s="225"/>
      <c r="CC36" s="225"/>
      <c r="CD36" s="225"/>
      <c r="CE36" s="225"/>
      <c r="CF36" s="225"/>
      <c r="CG36" s="225"/>
      <c r="CH36" s="225"/>
      <c r="CI36" s="225"/>
      <c r="CJ36" s="225"/>
    </row>
    <row r="37" spans="1:92" ht="47" thickBot="1" x14ac:dyDescent="0.4">
      <c r="A37" s="241"/>
      <c r="B37" s="242" t="s">
        <v>113</v>
      </c>
      <c r="C37" s="243"/>
      <c r="D37" s="244" t="s">
        <v>114</v>
      </c>
      <c r="E37" s="245" t="s">
        <v>115</v>
      </c>
      <c r="F37" s="245" t="s">
        <v>116</v>
      </c>
      <c r="G37" s="246" t="s">
        <v>86</v>
      </c>
      <c r="H37" s="247" t="s">
        <v>117</v>
      </c>
      <c r="I37" s="248" t="s">
        <v>118</v>
      </c>
      <c r="J37" s="248" t="s">
        <v>119</v>
      </c>
      <c r="K37" s="249" t="s">
        <v>120</v>
      </c>
      <c r="L37" s="250" t="s">
        <v>117</v>
      </c>
      <c r="M37" s="248" t="s">
        <v>118</v>
      </c>
      <c r="N37" s="248" t="s">
        <v>119</v>
      </c>
      <c r="O37" s="249" t="s">
        <v>120</v>
      </c>
      <c r="P37" s="250" t="s">
        <v>117</v>
      </c>
      <c r="Q37" s="248" t="s">
        <v>118</v>
      </c>
      <c r="R37" s="248" t="s">
        <v>119</v>
      </c>
      <c r="S37" s="249" t="s">
        <v>120</v>
      </c>
      <c r="T37" s="250" t="s">
        <v>117</v>
      </c>
      <c r="U37" s="248" t="s">
        <v>118</v>
      </c>
      <c r="V37" s="248" t="s">
        <v>119</v>
      </c>
      <c r="W37" s="249" t="s">
        <v>120</v>
      </c>
      <c r="X37" s="250" t="s">
        <v>117</v>
      </c>
      <c r="Y37" s="248" t="s">
        <v>118</v>
      </c>
      <c r="Z37" s="248" t="s">
        <v>119</v>
      </c>
      <c r="AA37" s="249" t="s">
        <v>120</v>
      </c>
      <c r="AB37" s="250" t="s">
        <v>117</v>
      </c>
      <c r="AC37" s="248" t="s">
        <v>118</v>
      </c>
      <c r="AD37" s="248" t="s">
        <v>119</v>
      </c>
      <c r="AE37" s="249" t="s">
        <v>120</v>
      </c>
      <c r="AF37" s="250" t="s">
        <v>117</v>
      </c>
      <c r="AG37" s="248" t="s">
        <v>118</v>
      </c>
      <c r="AH37" s="248" t="s">
        <v>119</v>
      </c>
      <c r="AI37" s="249" t="s">
        <v>120</v>
      </c>
      <c r="AJ37" s="250" t="s">
        <v>117</v>
      </c>
      <c r="AK37" s="248" t="s">
        <v>118</v>
      </c>
      <c r="AL37" s="248" t="s">
        <v>119</v>
      </c>
      <c r="AM37" s="249" t="s">
        <v>120</v>
      </c>
      <c r="AN37" s="247" t="s">
        <v>121</v>
      </c>
      <c r="AO37" s="248" t="s">
        <v>122</v>
      </c>
      <c r="AP37" s="248" t="s">
        <v>123</v>
      </c>
      <c r="AQ37" s="248" t="s">
        <v>124</v>
      </c>
      <c r="AR37" s="251" t="s">
        <v>125</v>
      </c>
      <c r="AS37" s="248" t="s">
        <v>126</v>
      </c>
      <c r="AT37" s="248" t="s">
        <v>127</v>
      </c>
      <c r="AU37" s="252" t="s">
        <v>128</v>
      </c>
      <c r="AV37" s="253" t="s">
        <v>129</v>
      </c>
      <c r="AW37" s="254" t="s">
        <v>130</v>
      </c>
      <c r="AX37" s="255" t="s">
        <v>131</v>
      </c>
      <c r="AY37" s="255" t="s">
        <v>132</v>
      </c>
      <c r="AZ37" s="256" t="s">
        <v>133</v>
      </c>
      <c r="BA37" s="268">
        <f t="shared" si="11"/>
        <v>0</v>
      </c>
      <c r="BB37" s="299"/>
    </row>
    <row r="38" spans="1:92" s="13" customFormat="1" ht="17.5" x14ac:dyDescent="0.35">
      <c r="A38" s="397" t="s">
        <v>136</v>
      </c>
      <c r="B38" s="204" t="s">
        <v>174</v>
      </c>
      <c r="C38" s="260"/>
      <c r="D38" s="261"/>
      <c r="E38" s="262"/>
      <c r="F38" s="262"/>
      <c r="G38" s="263">
        <v>1</v>
      </c>
      <c r="H38" s="264"/>
      <c r="I38" s="264"/>
      <c r="J38" s="265"/>
      <c r="K38" s="266"/>
      <c r="L38" s="264"/>
      <c r="M38" s="264"/>
      <c r="N38" s="265"/>
      <c r="O38" s="266"/>
      <c r="P38" s="264"/>
      <c r="Q38" s="264"/>
      <c r="R38" s="265"/>
      <c r="S38" s="266"/>
      <c r="T38" s="264"/>
      <c r="U38" s="264"/>
      <c r="V38" s="265"/>
      <c r="W38" s="266"/>
      <c r="X38" s="264"/>
      <c r="Y38" s="264"/>
      <c r="Z38" s="265"/>
      <c r="AA38" s="266"/>
      <c r="AB38" s="264">
        <v>8</v>
      </c>
      <c r="AC38" s="264">
        <v>16</v>
      </c>
      <c r="AD38" s="265">
        <f t="shared" ref="AD38" si="42">IF(AB38="",0,IF((AC38-AB38&lt;=0),(24-AB38+AC38),(AC38-AB38)))</f>
        <v>8</v>
      </c>
      <c r="AE38" s="266"/>
      <c r="AF38" s="264">
        <v>8</v>
      </c>
      <c r="AG38" s="264">
        <v>16</v>
      </c>
      <c r="AH38" s="265">
        <f t="shared" ref="AH38" si="43">IF(AF38="",0,IF((AG38-AF38&lt;=0),(24-AF38+AG38),(AG38-AF38)))</f>
        <v>8</v>
      </c>
      <c r="AI38" s="266"/>
      <c r="AJ38" s="264">
        <v>8</v>
      </c>
      <c r="AK38" s="264">
        <v>16</v>
      </c>
      <c r="AL38" s="265">
        <f t="shared" ref="AL38" si="44">IF(AJ38="",0,IF((AK38-AJ38&lt;=0),(24-AJ38+AK38),(AK38-AJ38)))</f>
        <v>8</v>
      </c>
      <c r="AM38" s="266"/>
      <c r="AN38" s="264">
        <f t="shared" ref="AN38:AN42" si="45">J38+N38+R38+V38+Z38+AD38+AH38+AL38</f>
        <v>24</v>
      </c>
      <c r="AO38" s="267">
        <f>IF(AN38=0,0,((J38*$C$114)+($D$114*N38)+(R38*$E$114)+(V38*$F$114)+($G$114*Z38)+(AD38*$H$115)+($I$116*AH38)+(AL38*$J$117)*G38))</f>
        <v>912</v>
      </c>
      <c r="AP38" s="267">
        <f>IF(AN38=0,0,((K38*$C$114)+($D$114*O38)+(S38*$E$114)+(W38*$F$114)+($G$114*AA38)+(AE38*$H$115)+($I$116*AI38)+(AM38*$J$117)*G38))</f>
        <v>0</v>
      </c>
      <c r="AQ38" s="267">
        <f>AL38*$J$117*G38</f>
        <v>144</v>
      </c>
      <c r="AR38" s="268">
        <f>AO38/$L$113</f>
        <v>0.45508982035928142</v>
      </c>
      <c r="AS38" s="268">
        <f t="shared" ref="AS38:AS42" si="46">AR38*0.09091</f>
        <v>4.1372215568862274E-2</v>
      </c>
      <c r="AT38" s="268">
        <f t="shared" ref="AT38:AT42" si="47">AS38+AR38</f>
        <v>0.4964620359281437</v>
      </c>
      <c r="AU38" s="269">
        <f>$BD$12</f>
        <v>2083</v>
      </c>
      <c r="AV38" s="270">
        <f>AU38/160</f>
        <v>13.018750000000001</v>
      </c>
      <c r="AW38" s="271">
        <f>AV38*AO38</f>
        <v>11873.1</v>
      </c>
      <c r="AX38" s="268">
        <f>$AX$13*AV38*AP38</f>
        <v>0</v>
      </c>
      <c r="AY38" s="268">
        <f>AV38*AQ38</f>
        <v>1874.7</v>
      </c>
      <c r="AZ38" s="272">
        <f>AV38*$AZ$13*AO38</f>
        <v>296.82750000000004</v>
      </c>
      <c r="BA38" s="268">
        <f t="shared" si="11"/>
        <v>14044.627500000001</v>
      </c>
      <c r="BB38" s="299">
        <f>(AW38+AX38+AY38+AZ38)*1.2359</f>
        <v>17357.755127250002</v>
      </c>
      <c r="BC38" s="201"/>
      <c r="BD38" s="201"/>
      <c r="BE38" s="201"/>
      <c r="BF38" s="201"/>
      <c r="BG38" s="201"/>
      <c r="BH38" s="201"/>
      <c r="BI38" s="201"/>
      <c r="BJ38" s="201"/>
      <c r="BK38" s="201"/>
      <c r="BL38" s="201"/>
      <c r="BM38" s="201"/>
      <c r="BN38" s="201"/>
      <c r="BO38" s="201"/>
      <c r="BP38" s="201"/>
      <c r="BQ38" s="201"/>
      <c r="BR38" s="201"/>
      <c r="BS38" s="201"/>
      <c r="BT38" s="201"/>
      <c r="BU38" s="201"/>
      <c r="BV38" s="201"/>
      <c r="BW38" s="201"/>
      <c r="BX38" s="201"/>
      <c r="BY38" s="201"/>
      <c r="BZ38" s="201"/>
      <c r="CA38" s="201"/>
      <c r="CB38" s="201"/>
      <c r="CC38" s="201"/>
      <c r="CD38" s="201"/>
      <c r="CE38" s="201"/>
      <c r="CF38" s="201"/>
      <c r="CG38" s="201"/>
      <c r="CH38" s="201"/>
      <c r="CI38" s="201"/>
      <c r="CJ38" s="201"/>
      <c r="CK38" s="12"/>
      <c r="CL38" s="12"/>
      <c r="CM38" s="12"/>
      <c r="CN38" s="12"/>
    </row>
    <row r="39" spans="1:92" s="14" customFormat="1" ht="17.5" x14ac:dyDescent="0.35">
      <c r="A39" s="397"/>
      <c r="B39" s="204" t="s">
        <v>175</v>
      </c>
      <c r="C39" s="260"/>
      <c r="D39" s="261"/>
      <c r="E39" s="262"/>
      <c r="F39" s="262"/>
      <c r="G39" s="263">
        <v>1</v>
      </c>
      <c r="H39" s="264">
        <v>16</v>
      </c>
      <c r="I39" s="264">
        <v>8</v>
      </c>
      <c r="J39" s="265">
        <f t="shared" ref="J39:J42" si="48">IF(H39="",0,IF((I39-H39&lt;=0),(24-H39+I39),(I39-H39)))</f>
        <v>16</v>
      </c>
      <c r="K39" s="266">
        <v>8</v>
      </c>
      <c r="L39" s="239">
        <v>16</v>
      </c>
      <c r="M39" s="239">
        <v>8</v>
      </c>
      <c r="N39" s="265">
        <f t="shared" ref="N39:N42" si="49">IF(L39="",0,IF((M39-L39&lt;=0),(24-L39+M39),(M39-L39)))</f>
        <v>16</v>
      </c>
      <c r="O39" s="266">
        <v>8</v>
      </c>
      <c r="P39" s="239">
        <v>16</v>
      </c>
      <c r="Q39" s="239">
        <v>8</v>
      </c>
      <c r="R39" s="265">
        <f t="shared" ref="R39:R42" si="50">IF(P39="",0,IF((Q39-P39&lt;=0),(24-P39+Q39),(Q39-P39)))</f>
        <v>16</v>
      </c>
      <c r="S39" s="266">
        <v>8</v>
      </c>
      <c r="T39" s="239">
        <v>16</v>
      </c>
      <c r="U39" s="239">
        <v>8</v>
      </c>
      <c r="V39" s="265">
        <f t="shared" ref="V39:V42" si="51">IF(T39="",0,IF((U39-T39&lt;=0),(24-T39+U39),(U39-T39)))</f>
        <v>16</v>
      </c>
      <c r="W39" s="266">
        <v>8</v>
      </c>
      <c r="X39" s="239">
        <v>16</v>
      </c>
      <c r="Y39" s="239">
        <v>8</v>
      </c>
      <c r="Z39" s="265">
        <f t="shared" ref="Z39:Z42" si="52">IF(X39="",0,IF((Y39-X39&lt;=0),(24-X39+Y39),(Y39-X39)))</f>
        <v>16</v>
      </c>
      <c r="AA39" s="266">
        <v>8</v>
      </c>
      <c r="AB39" s="239"/>
      <c r="AC39" s="239"/>
      <c r="AD39" s="265"/>
      <c r="AE39" s="266"/>
      <c r="AF39" s="239"/>
      <c r="AG39" s="239"/>
      <c r="AH39" s="265"/>
      <c r="AI39" s="266"/>
      <c r="AJ39" s="239"/>
      <c r="AK39" s="239"/>
      <c r="AL39" s="265"/>
      <c r="AM39" s="266"/>
      <c r="AN39" s="274">
        <f t="shared" si="45"/>
        <v>80</v>
      </c>
      <c r="AO39" s="267">
        <f>IF(AN39=0,0,((J39*$C$114)+($D$114*N39)+(R39*$E$114)+(V39*$F$114)+($G$114*Z39)+(AD39*$H$115)+($I$116*AH39)+(AL39*$J$117)*G39))</f>
        <v>4000</v>
      </c>
      <c r="AP39" s="267">
        <f>IF(AN39=0,0,((K39*$C$114)+($D$114*O39)+(S39*$E$114)+(W39*$F$114)+($G$114*AA39)+(AE39*$H$115)+($I$116*AI39)+(AM39*$J$117)*G39))</f>
        <v>2000</v>
      </c>
      <c r="AQ39" s="267">
        <f>AL39*$J$117*G39</f>
        <v>0</v>
      </c>
      <c r="AR39" s="268">
        <f>AO39/$L$113</f>
        <v>1.996007984031936</v>
      </c>
      <c r="AS39" s="268">
        <f t="shared" si="46"/>
        <v>0.1814570858283433</v>
      </c>
      <c r="AT39" s="268">
        <f t="shared" si="47"/>
        <v>2.1774650698602791</v>
      </c>
      <c r="AU39" s="269">
        <f>$BD$12</f>
        <v>2083</v>
      </c>
      <c r="AV39" s="270">
        <f t="shared" ref="AV39:AV41" si="53">AU39/160</f>
        <v>13.018750000000001</v>
      </c>
      <c r="AW39" s="271">
        <f>AV39*AO39</f>
        <v>52075</v>
      </c>
      <c r="AX39" s="268">
        <f>$AX$13*AV39*AP39</f>
        <v>13018.75</v>
      </c>
      <c r="AY39" s="268">
        <f>AV39*AQ39</f>
        <v>0</v>
      </c>
      <c r="AZ39" s="272">
        <f>AV39*$AZ$13*AO39</f>
        <v>1301.8750000000002</v>
      </c>
      <c r="BA39" s="268">
        <f t="shared" si="11"/>
        <v>66395.625</v>
      </c>
      <c r="BB39" s="299">
        <f>(AW39+AX39+AY39+AZ39)*1.2359</f>
        <v>82058.352937500007</v>
      </c>
      <c r="BC39" s="201"/>
      <c r="BD39" s="201"/>
      <c r="BE39" s="201"/>
      <c r="BF39" s="201"/>
      <c r="BG39" s="201"/>
      <c r="BH39" s="201"/>
      <c r="BI39" s="201"/>
      <c r="BJ39" s="201"/>
      <c r="BK39" s="201"/>
      <c r="BL39" s="201"/>
      <c r="BM39" s="201"/>
      <c r="BN39" s="201"/>
      <c r="BO39" s="201"/>
      <c r="BP39" s="201"/>
      <c r="BQ39" s="201"/>
      <c r="BR39" s="201"/>
      <c r="BS39" s="201"/>
      <c r="BT39" s="201"/>
      <c r="BU39" s="201"/>
      <c r="BV39" s="201"/>
      <c r="BW39" s="201"/>
      <c r="BX39" s="201"/>
      <c r="BY39" s="201"/>
      <c r="BZ39" s="201"/>
      <c r="CA39" s="201"/>
      <c r="CB39" s="201"/>
      <c r="CC39" s="201"/>
      <c r="CD39" s="201"/>
      <c r="CE39" s="201"/>
      <c r="CF39" s="201"/>
      <c r="CG39" s="201"/>
      <c r="CH39" s="201"/>
      <c r="CI39" s="201"/>
      <c r="CJ39" s="201"/>
      <c r="CK39" s="12"/>
      <c r="CL39" s="12"/>
      <c r="CM39" s="12"/>
      <c r="CN39" s="12"/>
    </row>
    <row r="40" spans="1:92" ht="30" x14ac:dyDescent="0.35">
      <c r="A40" s="397"/>
      <c r="B40" s="275" t="s">
        <v>96</v>
      </c>
      <c r="C40" s="260"/>
      <c r="D40" s="261"/>
      <c r="E40" s="262"/>
      <c r="F40" s="262"/>
      <c r="G40" s="263">
        <v>1</v>
      </c>
      <c r="H40" s="264">
        <v>9</v>
      </c>
      <c r="I40" s="264">
        <v>21</v>
      </c>
      <c r="J40" s="265">
        <f t="shared" si="48"/>
        <v>12</v>
      </c>
      <c r="K40" s="266">
        <v>0</v>
      </c>
      <c r="L40" s="239">
        <v>9</v>
      </c>
      <c r="M40" s="239">
        <v>21</v>
      </c>
      <c r="N40" s="265">
        <f t="shared" si="49"/>
        <v>12</v>
      </c>
      <c r="O40" s="266">
        <v>0</v>
      </c>
      <c r="P40" s="239">
        <v>9</v>
      </c>
      <c r="Q40" s="239">
        <v>21</v>
      </c>
      <c r="R40" s="265">
        <f t="shared" si="50"/>
        <v>12</v>
      </c>
      <c r="S40" s="266">
        <v>0</v>
      </c>
      <c r="T40" s="239">
        <v>9</v>
      </c>
      <c r="U40" s="239">
        <v>21</v>
      </c>
      <c r="V40" s="265">
        <f t="shared" si="51"/>
        <v>12</v>
      </c>
      <c r="W40" s="266">
        <v>0</v>
      </c>
      <c r="X40" s="239">
        <v>9</v>
      </c>
      <c r="Y40" s="239">
        <v>21</v>
      </c>
      <c r="Z40" s="265">
        <f t="shared" si="52"/>
        <v>12</v>
      </c>
      <c r="AA40" s="266">
        <v>0</v>
      </c>
      <c r="AB40" s="239"/>
      <c r="AC40" s="239"/>
      <c r="AD40" s="265">
        <f t="shared" ref="AD40:AD42" si="54">IF(AB40="",0,IF((AC40-AB40&lt;=0),(24-AB40+AC40),(AC40-AB40)))</f>
        <v>0</v>
      </c>
      <c r="AE40" s="266">
        <v>0</v>
      </c>
      <c r="AF40" s="239"/>
      <c r="AG40" s="239"/>
      <c r="AH40" s="265">
        <f t="shared" ref="AH40:AH42" si="55">IF(AF40="",0,IF((AG40-AF40&lt;=0),(24-AF40+AG40),(AG40-AF40)))</f>
        <v>0</v>
      </c>
      <c r="AI40" s="266">
        <v>0</v>
      </c>
      <c r="AJ40" s="239">
        <v>9</v>
      </c>
      <c r="AK40" s="239">
        <v>21</v>
      </c>
      <c r="AL40" s="265">
        <f t="shared" ref="AL40:AL42" si="56">IF(AJ40="",0,IF((AK40-AJ40&lt;=0),(24-AJ40+AK40),(AK40-AJ40)))</f>
        <v>12</v>
      </c>
      <c r="AM40" s="266">
        <v>0</v>
      </c>
      <c r="AN40" s="274">
        <f t="shared" si="45"/>
        <v>72</v>
      </c>
      <c r="AO40" s="267">
        <f>IF(AN40=0,0,((J40*$C$114)+($D$114*N40)+(R40*$E$114)+(V40*$F$114)+($G$114*Z40)+(AD40*$H$115)+($I$116*AH40)+(AL40*$J$117)*G40))</f>
        <v>3216</v>
      </c>
      <c r="AP40" s="267">
        <f>IF(AN40=0,0,((K40*$C$114)+($D$114*O40)+(S40*$E$114)+(W40*$F$114)+($G$114*AA40)+(AE40*$H$115)+($I$116*AI40)+(AM40*$J$117)*G40))</f>
        <v>0</v>
      </c>
      <c r="AQ40" s="267">
        <f>AL40*$J$117*G40</f>
        <v>216</v>
      </c>
      <c r="AR40" s="268">
        <f>AO40/$L$113</f>
        <v>1.6047904191616766</v>
      </c>
      <c r="AS40" s="268">
        <f t="shared" si="46"/>
        <v>0.14589149700598802</v>
      </c>
      <c r="AT40" s="268">
        <f t="shared" si="47"/>
        <v>1.7506819161676646</v>
      </c>
      <c r="AU40" s="269">
        <f>$BD$12</f>
        <v>2083</v>
      </c>
      <c r="AV40" s="270">
        <f t="shared" si="53"/>
        <v>13.018750000000001</v>
      </c>
      <c r="AW40" s="271">
        <f>AV40*AO40</f>
        <v>41868.300000000003</v>
      </c>
      <c r="AX40" s="268">
        <f>$AX$13*AV40*AP40</f>
        <v>0</v>
      </c>
      <c r="AY40" s="268">
        <f>AV40*AQ40</f>
        <v>2812.05</v>
      </c>
      <c r="AZ40" s="272">
        <f>AV40*$AZ$13*AO40</f>
        <v>1046.7075</v>
      </c>
      <c r="BA40" s="268">
        <f t="shared" si="11"/>
        <v>45727.057500000003</v>
      </c>
      <c r="BB40" s="299">
        <f>(AW40+AX40+AY40+AZ40)*1.2359</f>
        <v>56514.070364250001</v>
      </c>
    </row>
    <row r="41" spans="1:92" s="15" customFormat="1" ht="51" customHeight="1" x14ac:dyDescent="0.35">
      <c r="A41" s="276"/>
      <c r="B41" s="275" t="s">
        <v>100</v>
      </c>
      <c r="C41" s="260"/>
      <c r="D41" s="261"/>
      <c r="E41" s="262"/>
      <c r="F41" s="262"/>
      <c r="G41" s="277">
        <v>1</v>
      </c>
      <c r="H41" s="239">
        <v>8</v>
      </c>
      <c r="I41" s="239">
        <v>8</v>
      </c>
      <c r="J41" s="265">
        <f t="shared" si="48"/>
        <v>24</v>
      </c>
      <c r="K41" s="266">
        <v>8</v>
      </c>
      <c r="L41" s="239">
        <v>8</v>
      </c>
      <c r="M41" s="239">
        <v>8</v>
      </c>
      <c r="N41" s="265">
        <f t="shared" si="49"/>
        <v>24</v>
      </c>
      <c r="O41" s="266">
        <v>8</v>
      </c>
      <c r="P41" s="239">
        <v>8</v>
      </c>
      <c r="Q41" s="239">
        <v>8</v>
      </c>
      <c r="R41" s="265">
        <f t="shared" si="50"/>
        <v>24</v>
      </c>
      <c r="S41" s="266">
        <v>8</v>
      </c>
      <c r="T41" s="239">
        <v>8</v>
      </c>
      <c r="U41" s="239">
        <v>8</v>
      </c>
      <c r="V41" s="265">
        <f t="shared" si="51"/>
        <v>24</v>
      </c>
      <c r="W41" s="266">
        <v>8</v>
      </c>
      <c r="X41" s="239">
        <v>8</v>
      </c>
      <c r="Y41" s="239">
        <v>8</v>
      </c>
      <c r="Z41" s="265">
        <f t="shared" si="52"/>
        <v>24</v>
      </c>
      <c r="AA41" s="266">
        <v>8</v>
      </c>
      <c r="AB41" s="239">
        <v>8</v>
      </c>
      <c r="AC41" s="239">
        <v>8</v>
      </c>
      <c r="AD41" s="265">
        <f t="shared" si="54"/>
        <v>24</v>
      </c>
      <c r="AE41" s="266">
        <v>8</v>
      </c>
      <c r="AF41" s="239">
        <v>8</v>
      </c>
      <c r="AG41" s="239">
        <v>8</v>
      </c>
      <c r="AH41" s="265">
        <f t="shared" si="55"/>
        <v>24</v>
      </c>
      <c r="AI41" s="266">
        <v>8</v>
      </c>
      <c r="AJ41" s="239">
        <v>8</v>
      </c>
      <c r="AK41" s="239">
        <v>8</v>
      </c>
      <c r="AL41" s="265">
        <f t="shared" si="56"/>
        <v>24</v>
      </c>
      <c r="AM41" s="266">
        <v>8</v>
      </c>
      <c r="AN41" s="274">
        <f t="shared" si="45"/>
        <v>192</v>
      </c>
      <c r="AO41" s="267">
        <f>IF(AN41=0,0,((J41*$C$114)+($D$114*N41)+(R41*$E$114)+(V41*$F$114)+($G$114*Z41)+(AD41*$H$115)+($I$116*AH41)+(AL41*$J$117)*G41))</f>
        <v>8736</v>
      </c>
      <c r="AP41" s="267">
        <f>IF(AN41=0,0,((K41*$C$114)+($D$114*O41)+(S41*$E$114)+(W41*$F$114)+($G$114*AA41)+(AE41*$H$115)+($I$116*AI41)+(AM41*$J$117)*G41))</f>
        <v>2912</v>
      </c>
      <c r="AQ41" s="267">
        <f>AL41*$J$117*G41</f>
        <v>432</v>
      </c>
      <c r="AR41" s="268">
        <f>AO41/$L$113</f>
        <v>4.3592814371257482</v>
      </c>
      <c r="AS41" s="268">
        <f t="shared" si="46"/>
        <v>0.39630227544910179</v>
      </c>
      <c r="AT41" s="268">
        <f t="shared" si="47"/>
        <v>4.7555837125748504</v>
      </c>
      <c r="AU41" s="269">
        <f>$BD$12</f>
        <v>2083</v>
      </c>
      <c r="AV41" s="270">
        <f t="shared" si="53"/>
        <v>13.018750000000001</v>
      </c>
      <c r="AW41" s="271">
        <f>AV41*AO41</f>
        <v>113731.8</v>
      </c>
      <c r="AX41" s="268">
        <f>$AX$13*AV41*AP41</f>
        <v>18955.3</v>
      </c>
      <c r="AY41" s="268">
        <f>AV41*AQ41</f>
        <v>5624.1</v>
      </c>
      <c r="AZ41" s="272">
        <f>AV41*$AZ$13*AO41</f>
        <v>2843.2950000000001</v>
      </c>
      <c r="BA41" s="268">
        <f t="shared" si="11"/>
        <v>141154.49500000002</v>
      </c>
      <c r="BB41" s="299">
        <f>((AW41+AX41+AY41+AZ41)*1.2359)+((AW41+AX41+AY41+AZ41)*$BD$19)+((AW41+AX41+AY41+AZ41)*$BE$19)+((AW41+AX41+AY41+AZ41)*$BF$19)+BE15</f>
        <v>236019.93968050004</v>
      </c>
      <c r="BC41" s="201"/>
      <c r="BD41" s="201"/>
      <c r="BE41" s="201"/>
      <c r="BF41" s="201"/>
      <c r="BG41" s="201"/>
      <c r="BH41" s="201"/>
      <c r="BI41" s="201"/>
      <c r="BJ41" s="201"/>
      <c r="BK41" s="201"/>
      <c r="BL41" s="201"/>
      <c r="BM41" s="201"/>
      <c r="BN41" s="201"/>
      <c r="BO41" s="201"/>
      <c r="BP41" s="201"/>
      <c r="BQ41" s="201"/>
      <c r="BR41" s="201"/>
      <c r="BS41" s="201"/>
      <c r="BT41" s="201"/>
      <c r="BU41" s="201"/>
      <c r="BV41" s="201"/>
      <c r="BW41" s="201"/>
      <c r="BX41" s="201"/>
      <c r="BY41" s="201"/>
      <c r="BZ41" s="201"/>
      <c r="CA41" s="201"/>
      <c r="CB41" s="201"/>
      <c r="CC41" s="201"/>
      <c r="CD41" s="201"/>
      <c r="CE41" s="201"/>
      <c r="CF41" s="201"/>
      <c r="CG41" s="201"/>
      <c r="CH41" s="201"/>
      <c r="CI41" s="201"/>
      <c r="CJ41" s="201"/>
      <c r="CK41" s="10"/>
      <c r="CL41" s="10"/>
      <c r="CM41" s="10"/>
      <c r="CN41" s="10"/>
    </row>
    <row r="42" spans="1:92" s="15" customFormat="1" ht="17.5" x14ac:dyDescent="0.35">
      <c r="A42" s="276"/>
      <c r="B42" s="280" t="s">
        <v>143</v>
      </c>
      <c r="C42" s="260"/>
      <c r="D42" s="261"/>
      <c r="E42" s="262"/>
      <c r="F42" s="262"/>
      <c r="G42" s="277">
        <v>1</v>
      </c>
      <c r="H42" s="239">
        <v>8</v>
      </c>
      <c r="I42" s="239">
        <v>8</v>
      </c>
      <c r="J42" s="265">
        <f t="shared" si="48"/>
        <v>24</v>
      </c>
      <c r="K42" s="266">
        <v>8</v>
      </c>
      <c r="L42" s="239">
        <v>8</v>
      </c>
      <c r="M42" s="239">
        <v>8</v>
      </c>
      <c r="N42" s="265">
        <f t="shared" si="49"/>
        <v>24</v>
      </c>
      <c r="O42" s="266">
        <v>8</v>
      </c>
      <c r="P42" s="239">
        <v>8</v>
      </c>
      <c r="Q42" s="239">
        <v>8</v>
      </c>
      <c r="R42" s="265">
        <f t="shared" si="50"/>
        <v>24</v>
      </c>
      <c r="S42" s="266">
        <v>8</v>
      </c>
      <c r="T42" s="239">
        <v>8</v>
      </c>
      <c r="U42" s="239">
        <v>8</v>
      </c>
      <c r="V42" s="265">
        <f t="shared" si="51"/>
        <v>24</v>
      </c>
      <c r="W42" s="266">
        <v>8</v>
      </c>
      <c r="X42" s="239">
        <v>8</v>
      </c>
      <c r="Y42" s="239">
        <v>8</v>
      </c>
      <c r="Z42" s="265">
        <f t="shared" si="52"/>
        <v>24</v>
      </c>
      <c r="AA42" s="266">
        <v>8</v>
      </c>
      <c r="AB42" s="239">
        <v>8</v>
      </c>
      <c r="AC42" s="239">
        <v>8</v>
      </c>
      <c r="AD42" s="265">
        <f t="shared" si="54"/>
        <v>24</v>
      </c>
      <c r="AE42" s="266">
        <v>8</v>
      </c>
      <c r="AF42" s="239">
        <v>8</v>
      </c>
      <c r="AG42" s="239">
        <v>8</v>
      </c>
      <c r="AH42" s="265">
        <f t="shared" si="55"/>
        <v>24</v>
      </c>
      <c r="AI42" s="266">
        <v>8</v>
      </c>
      <c r="AJ42" s="239">
        <v>8</v>
      </c>
      <c r="AK42" s="239">
        <v>8</v>
      </c>
      <c r="AL42" s="265">
        <f t="shared" si="56"/>
        <v>24</v>
      </c>
      <c r="AM42" s="266">
        <v>9</v>
      </c>
      <c r="AN42" s="274">
        <f t="shared" si="45"/>
        <v>192</v>
      </c>
      <c r="AO42" s="267">
        <f>IF(AN42=0,0,((J42*$C$114)+($D$114*N42)+(R42*$E$114)+(V42*$F$114)+($G$114*Z42)+(AD42*$H$115)+($I$116*AH42)+(AL42*$J$117)*G42))</f>
        <v>8736</v>
      </c>
      <c r="AP42" s="267">
        <f>IF(AN42=0,0,((K42*$C$114)+($D$114*O42)+(S42*$E$114)+(W42*$F$114)+($G$114*AA42)+(AE42*$H$115)+($I$116*AI42)+(AM42*$J$117)*G42))</f>
        <v>2930</v>
      </c>
      <c r="AQ42" s="267">
        <f>AL42*$J$117*G42</f>
        <v>432</v>
      </c>
      <c r="AR42" s="268">
        <f>AO42/$L$113</f>
        <v>4.3592814371257482</v>
      </c>
      <c r="AS42" s="268">
        <f t="shared" si="46"/>
        <v>0.39630227544910179</v>
      </c>
      <c r="AT42" s="268">
        <f t="shared" si="47"/>
        <v>4.7555837125748504</v>
      </c>
      <c r="AU42" s="281">
        <f>$BD$12*0.75</f>
        <v>1562.25</v>
      </c>
      <c r="AV42" s="270">
        <f>AU42/160</f>
        <v>9.7640624999999996</v>
      </c>
      <c r="AW42" s="271">
        <f>AV42*AO42</f>
        <v>85298.849999999991</v>
      </c>
      <c r="AX42" s="268">
        <f>$AX$13*AV42*AP42</f>
        <v>14304.3515625</v>
      </c>
      <c r="AY42" s="268">
        <f>AV42*AQ42</f>
        <v>4218.0749999999998</v>
      </c>
      <c r="AZ42" s="272"/>
      <c r="BA42" s="268">
        <f t="shared" si="11"/>
        <v>103821.27656249999</v>
      </c>
      <c r="BB42" s="299">
        <f>(AW42+AX42+AY42+AZ42)*1.2359</f>
        <v>128312.71570359374</v>
      </c>
      <c r="BC42" s="201"/>
      <c r="BD42" s="279"/>
      <c r="BE42" s="279"/>
      <c r="BF42" s="279"/>
      <c r="BG42" s="279"/>
      <c r="BH42" s="279"/>
      <c r="BI42" s="279"/>
      <c r="BJ42" s="279"/>
      <c r="BK42" s="279"/>
      <c r="BL42" s="279"/>
      <c r="BM42" s="279"/>
      <c r="BN42" s="279"/>
      <c r="BO42" s="279"/>
      <c r="BP42" s="279"/>
      <c r="BQ42" s="279"/>
      <c r="BR42" s="279"/>
      <c r="BS42" s="279"/>
      <c r="BT42" s="279"/>
      <c r="BU42" s="279"/>
      <c r="BV42" s="279"/>
      <c r="BW42" s="279"/>
      <c r="BX42" s="279"/>
      <c r="BY42" s="279"/>
      <c r="BZ42" s="279"/>
      <c r="CA42" s="279"/>
      <c r="CB42" s="279"/>
      <c r="CC42" s="279"/>
      <c r="CD42" s="279"/>
      <c r="CE42" s="279"/>
      <c r="CF42" s="279"/>
      <c r="CG42" s="279"/>
      <c r="CH42" s="279"/>
      <c r="CI42" s="279"/>
      <c r="CJ42" s="279"/>
    </row>
    <row r="43" spans="1:92" s="15" customFormat="1" ht="17.5" x14ac:dyDescent="0.35">
      <c r="A43" s="276"/>
      <c r="B43" s="275"/>
      <c r="C43" s="260"/>
      <c r="D43" s="261"/>
      <c r="E43" s="262"/>
      <c r="F43" s="262"/>
      <c r="G43" s="263"/>
      <c r="H43" s="264"/>
      <c r="I43" s="264"/>
      <c r="J43" s="282"/>
      <c r="K43" s="264"/>
      <c r="L43" s="264"/>
      <c r="M43" s="264"/>
      <c r="N43" s="282"/>
      <c r="O43" s="264"/>
      <c r="P43" s="264"/>
      <c r="Q43" s="264"/>
      <c r="R43" s="282"/>
      <c r="S43" s="264"/>
      <c r="T43" s="264"/>
      <c r="U43" s="264"/>
      <c r="V43" s="282"/>
      <c r="W43" s="264"/>
      <c r="X43" s="264"/>
      <c r="Y43" s="264"/>
      <c r="Z43" s="282"/>
      <c r="AA43" s="264"/>
      <c r="AB43" s="264"/>
      <c r="AC43" s="264"/>
      <c r="AD43" s="282"/>
      <c r="AE43" s="264"/>
      <c r="AF43" s="264"/>
      <c r="AG43" s="264"/>
      <c r="AH43" s="282"/>
      <c r="AI43" s="264"/>
      <c r="AJ43" s="264"/>
      <c r="AK43" s="264"/>
      <c r="AL43" s="282"/>
      <c r="AM43" s="264"/>
      <c r="AN43" s="264"/>
      <c r="AO43" s="267"/>
      <c r="AP43" s="267"/>
      <c r="AQ43" s="267"/>
      <c r="AR43" s="268"/>
      <c r="AS43" s="268"/>
      <c r="AT43" s="268"/>
      <c r="AU43" s="269"/>
      <c r="AV43" s="270"/>
      <c r="AW43" s="271"/>
      <c r="AX43" s="268"/>
      <c r="AY43" s="268"/>
      <c r="AZ43" s="272"/>
      <c r="BA43" s="268">
        <f t="shared" si="11"/>
        <v>0</v>
      </c>
      <c r="BB43" s="299"/>
      <c r="BC43" s="201"/>
      <c r="BD43" s="279"/>
      <c r="BE43" s="279"/>
      <c r="BF43" s="279"/>
      <c r="BG43" s="279"/>
      <c r="BH43" s="279"/>
      <c r="BI43" s="279"/>
      <c r="BJ43" s="279"/>
      <c r="BK43" s="279"/>
      <c r="BL43" s="279"/>
      <c r="BM43" s="279"/>
      <c r="BN43" s="279"/>
      <c r="BO43" s="279"/>
      <c r="BP43" s="279"/>
      <c r="BQ43" s="279"/>
      <c r="BR43" s="279"/>
      <c r="BS43" s="279"/>
      <c r="BT43" s="279"/>
      <c r="BU43" s="279"/>
      <c r="BV43" s="279"/>
      <c r="BW43" s="279"/>
      <c r="BX43" s="279"/>
      <c r="BY43" s="279"/>
      <c r="BZ43" s="279"/>
      <c r="CA43" s="279"/>
      <c r="CB43" s="279"/>
      <c r="CC43" s="279"/>
      <c r="CD43" s="279"/>
      <c r="CE43" s="279"/>
      <c r="CF43" s="279"/>
      <c r="CG43" s="279"/>
      <c r="CH43" s="279"/>
      <c r="CI43" s="279"/>
      <c r="CJ43" s="279"/>
    </row>
    <row r="44" spans="1:92" s="15" customFormat="1" ht="17.5" x14ac:dyDescent="0.35">
      <c r="A44" s="276"/>
      <c r="B44" s="275"/>
      <c r="C44" s="260"/>
      <c r="D44" s="261"/>
      <c r="E44" s="262"/>
      <c r="F44" s="262"/>
      <c r="G44" s="263"/>
      <c r="H44" s="264"/>
      <c r="I44" s="264"/>
      <c r="J44" s="282"/>
      <c r="K44" s="264"/>
      <c r="L44" s="264"/>
      <c r="M44" s="264"/>
      <c r="N44" s="282"/>
      <c r="O44" s="264"/>
      <c r="P44" s="264"/>
      <c r="Q44" s="264"/>
      <c r="R44" s="282"/>
      <c r="S44" s="264"/>
      <c r="T44" s="264"/>
      <c r="U44" s="264"/>
      <c r="V44" s="282"/>
      <c r="W44" s="264"/>
      <c r="X44" s="264"/>
      <c r="Y44" s="264"/>
      <c r="Z44" s="282"/>
      <c r="AA44" s="264"/>
      <c r="AB44" s="264"/>
      <c r="AC44" s="264"/>
      <c r="AD44" s="282"/>
      <c r="AE44" s="264"/>
      <c r="AF44" s="264"/>
      <c r="AG44" s="264"/>
      <c r="AH44" s="282"/>
      <c r="AI44" s="264"/>
      <c r="AJ44" s="264"/>
      <c r="AK44" s="264"/>
      <c r="AL44" s="282"/>
      <c r="AM44" s="264"/>
      <c r="AN44" s="264"/>
      <c r="AO44" s="267"/>
      <c r="AP44" s="267"/>
      <c r="AQ44" s="267"/>
      <c r="AR44" s="268"/>
      <c r="AS44" s="268"/>
      <c r="AT44" s="268"/>
      <c r="AU44" s="269"/>
      <c r="AV44" s="270"/>
      <c r="AW44" s="271"/>
      <c r="AX44" s="268"/>
      <c r="AY44" s="268"/>
      <c r="AZ44" s="272"/>
      <c r="BA44" s="268">
        <f t="shared" si="11"/>
        <v>0</v>
      </c>
      <c r="BB44" s="299"/>
      <c r="BC44" s="201"/>
      <c r="BD44" s="279"/>
      <c r="BE44" s="279"/>
      <c r="BF44" s="279"/>
      <c r="BG44" s="279"/>
      <c r="BH44" s="279"/>
      <c r="BI44" s="279"/>
      <c r="BJ44" s="279"/>
      <c r="BK44" s="279"/>
      <c r="BL44" s="279"/>
      <c r="BM44" s="279"/>
      <c r="BN44" s="279"/>
      <c r="BO44" s="279"/>
      <c r="BP44" s="279"/>
      <c r="BQ44" s="279"/>
      <c r="BR44" s="279"/>
      <c r="BS44" s="279"/>
      <c r="BT44" s="279"/>
      <c r="BU44" s="279"/>
      <c r="BV44" s="279"/>
      <c r="BW44" s="279"/>
      <c r="BX44" s="279"/>
      <c r="BY44" s="279"/>
      <c r="BZ44" s="279"/>
      <c r="CA44" s="279"/>
      <c r="CB44" s="279"/>
      <c r="CC44" s="279"/>
      <c r="CD44" s="279"/>
      <c r="CE44" s="279"/>
      <c r="CF44" s="279"/>
      <c r="CG44" s="279"/>
      <c r="CH44" s="279"/>
      <c r="CI44" s="279"/>
      <c r="CJ44" s="279"/>
    </row>
    <row r="45" spans="1:92" ht="17.5" x14ac:dyDescent="0.35">
      <c r="A45" s="398" t="s">
        <v>140</v>
      </c>
      <c r="B45" s="204" t="s">
        <v>174</v>
      </c>
      <c r="C45" s="260"/>
      <c r="D45" s="261"/>
      <c r="E45" s="262"/>
      <c r="F45" s="262"/>
      <c r="G45" s="263">
        <v>1</v>
      </c>
      <c r="H45" s="264"/>
      <c r="I45" s="264"/>
      <c r="J45" s="265"/>
      <c r="K45" s="266"/>
      <c r="L45" s="264"/>
      <c r="M45" s="264"/>
      <c r="N45" s="265"/>
      <c r="O45" s="266"/>
      <c r="P45" s="264"/>
      <c r="Q45" s="264"/>
      <c r="R45" s="265"/>
      <c r="S45" s="266"/>
      <c r="T45" s="264"/>
      <c r="U45" s="264"/>
      <c r="V45" s="265"/>
      <c r="W45" s="266"/>
      <c r="X45" s="264"/>
      <c r="Y45" s="264"/>
      <c r="Z45" s="265"/>
      <c r="AA45" s="266"/>
      <c r="AB45" s="264">
        <v>8</v>
      </c>
      <c r="AC45" s="264">
        <v>16</v>
      </c>
      <c r="AD45" s="265">
        <f t="shared" ref="AD45" si="57">IF(AB45="",0,IF((AC45-AB45&lt;=0),(24-AB45+AC45),(AC45-AB45)))</f>
        <v>8</v>
      </c>
      <c r="AE45" s="266"/>
      <c r="AF45" s="264">
        <v>8</v>
      </c>
      <c r="AG45" s="264">
        <v>16</v>
      </c>
      <c r="AH45" s="265">
        <f t="shared" ref="AH45" si="58">IF(AF45="",0,IF((AG45-AF45&lt;=0),(24-AF45+AG45),(AG45-AF45)))</f>
        <v>8</v>
      </c>
      <c r="AI45" s="266"/>
      <c r="AJ45" s="264">
        <v>8</v>
      </c>
      <c r="AK45" s="264">
        <v>16</v>
      </c>
      <c r="AL45" s="265">
        <f t="shared" ref="AL45" si="59">IF(AJ45="",0,IF((AK45-AJ45&lt;=0),(24-AJ45+AK45),(AK45-AJ45)))</f>
        <v>8</v>
      </c>
      <c r="AM45" s="266"/>
      <c r="AN45" s="264">
        <f>J45+N45+R45+V45+Z45+AD45+AH45+AL45</f>
        <v>24</v>
      </c>
      <c r="AO45" s="267">
        <f>IF(AN45=0,0,((J45*$C$114)+($D$114*N45)+(R45*$E$114)+(V45*$F$114)+($G$114*Z45)+(AD45*$H$115)+($I$116*AH45)+(AL45*$J$117)*G45))</f>
        <v>912</v>
      </c>
      <c r="AP45" s="267">
        <f>IF(AN45=0,0,((K45*$C$114)+($D$114*O45)+(S45*$E$114)+(W45*$F$114)+($G$114*AA45)+(AE45*$H$115)+($I$116*AI45)+(AM45*$J$117)*G45))</f>
        <v>0</v>
      </c>
      <c r="AQ45" s="267">
        <f>AL45*$J$117*G45</f>
        <v>144</v>
      </c>
      <c r="AR45" s="268">
        <f>AO45/$L$113</f>
        <v>0.45508982035928142</v>
      </c>
      <c r="AS45" s="268">
        <f>AR45*0.09091</f>
        <v>4.1372215568862274E-2</v>
      </c>
      <c r="AT45" s="268">
        <f>AS45+AR45</f>
        <v>0.4964620359281437</v>
      </c>
      <c r="AU45" s="269">
        <f>$BD$13</f>
        <v>1303</v>
      </c>
      <c r="AV45" s="270">
        <f>AU45/160</f>
        <v>8.1437500000000007</v>
      </c>
      <c r="AW45" s="271">
        <f>AV45*AO45</f>
        <v>7427.1</v>
      </c>
      <c r="AX45" s="268">
        <f>$AX$13*AV45*AP45</f>
        <v>0</v>
      </c>
      <c r="AY45" s="268">
        <f>AV45*AQ45</f>
        <v>1172.7</v>
      </c>
      <c r="AZ45" s="272">
        <f>AV45*$AZ$13*AO45</f>
        <v>185.67750000000001</v>
      </c>
      <c r="BA45" s="268">
        <f t="shared" si="11"/>
        <v>8785.4775000000009</v>
      </c>
      <c r="BB45" s="299">
        <f>(AW45+AX45+AY45+AZ45)*1.2359</f>
        <v>10857.971642250001</v>
      </c>
    </row>
    <row r="46" spans="1:92" ht="17.5" x14ac:dyDescent="0.35">
      <c r="A46" s="398"/>
      <c r="B46" s="204" t="s">
        <v>175</v>
      </c>
      <c r="C46" s="260"/>
      <c r="D46" s="261"/>
      <c r="E46" s="262"/>
      <c r="F46" s="262"/>
      <c r="G46" s="263">
        <v>1</v>
      </c>
      <c r="H46" s="264">
        <v>16</v>
      </c>
      <c r="I46" s="264">
        <v>8</v>
      </c>
      <c r="J46" s="265">
        <f t="shared" ref="J46:J48" si="60">IF(H46="",0,IF((I46-H46&lt;=0),(24-H46+I46),(I46-H46)))</f>
        <v>16</v>
      </c>
      <c r="K46" s="266">
        <v>8</v>
      </c>
      <c r="L46" s="239">
        <v>16</v>
      </c>
      <c r="M46" s="239">
        <v>8</v>
      </c>
      <c r="N46" s="265">
        <f t="shared" ref="N46:N48" si="61">IF(L46="",0,IF((M46-L46&lt;=0),(24-L46+M46),(M46-L46)))</f>
        <v>16</v>
      </c>
      <c r="O46" s="266">
        <v>8</v>
      </c>
      <c r="P46" s="239">
        <v>16</v>
      </c>
      <c r="Q46" s="239">
        <v>8</v>
      </c>
      <c r="R46" s="265">
        <f t="shared" ref="R46:R48" si="62">IF(P46="",0,IF((Q46-P46&lt;=0),(24-P46+Q46),(Q46-P46)))</f>
        <v>16</v>
      </c>
      <c r="S46" s="266">
        <v>8</v>
      </c>
      <c r="T46" s="239">
        <v>16</v>
      </c>
      <c r="U46" s="239">
        <v>8</v>
      </c>
      <c r="V46" s="265">
        <f t="shared" ref="V46:V48" si="63">IF(T46="",0,IF((U46-T46&lt;=0),(24-T46+U46),(U46-T46)))</f>
        <v>16</v>
      </c>
      <c r="W46" s="266">
        <v>8</v>
      </c>
      <c r="X46" s="239">
        <v>16</v>
      </c>
      <c r="Y46" s="239">
        <v>8</v>
      </c>
      <c r="Z46" s="265">
        <f t="shared" ref="Z46:Z48" si="64">IF(X46="",0,IF((Y46-X46&lt;=0),(24-X46+Y46),(Y46-X46)))</f>
        <v>16</v>
      </c>
      <c r="AA46" s="266">
        <v>8</v>
      </c>
      <c r="AB46" s="239"/>
      <c r="AC46" s="239"/>
      <c r="AD46" s="265"/>
      <c r="AE46" s="266"/>
      <c r="AF46" s="239"/>
      <c r="AG46" s="239"/>
      <c r="AH46" s="265"/>
      <c r="AI46" s="266"/>
      <c r="AJ46" s="239"/>
      <c r="AK46" s="239"/>
      <c r="AL46" s="265"/>
      <c r="AM46" s="266"/>
      <c r="AN46" s="274">
        <f>J46+N46+R46+V46+Z46+AD46+AH46+AL46</f>
        <v>80</v>
      </c>
      <c r="AO46" s="267">
        <f>IF(AN46=0,0,((J46*$C$114)+($D$114*N46)+(R46*$E$114)+(V46*$F$114)+($G$114*Z46)+(AD46*$H$115)+($I$116*AH46)+(AL46*$J$117)*G46))</f>
        <v>4000</v>
      </c>
      <c r="AP46" s="267">
        <f>IF(AN46=0,0,((K46*$C$114)+($D$114*O46)+(S46*$E$114)+(W46*$F$114)+($G$114*AA46)+(AE46*$H$115)+($I$116*AI46)+(AM46*$J$117)*G46))</f>
        <v>2000</v>
      </c>
      <c r="AQ46" s="267">
        <f>AL46*$J$117*G46</f>
        <v>0</v>
      </c>
      <c r="AR46" s="268">
        <f>AO46/$L$113</f>
        <v>1.996007984031936</v>
      </c>
      <c r="AS46" s="268">
        <f>AR46*0.09091</f>
        <v>0.1814570858283433</v>
      </c>
      <c r="AT46" s="268">
        <f>AS46+AR46</f>
        <v>2.1774650698602791</v>
      </c>
      <c r="AU46" s="269">
        <f>$BD$13</f>
        <v>1303</v>
      </c>
      <c r="AV46" s="270">
        <f>AU46/160</f>
        <v>8.1437500000000007</v>
      </c>
      <c r="AW46" s="271">
        <f>AV46*AO46</f>
        <v>32575.000000000004</v>
      </c>
      <c r="AX46" s="268">
        <f>$AX$13*AV46*AP46</f>
        <v>8143.7500000000009</v>
      </c>
      <c r="AY46" s="268">
        <f>AV46*AQ46</f>
        <v>0</v>
      </c>
      <c r="AZ46" s="272">
        <f>AV46*$AZ$13*AO46</f>
        <v>814.37500000000011</v>
      </c>
      <c r="BA46" s="268">
        <f t="shared" si="11"/>
        <v>41533.125000000007</v>
      </c>
      <c r="BB46" s="299">
        <f>(AW46+AX46+AY46+AZ46)*1.2359</f>
        <v>51330.789187500006</v>
      </c>
    </row>
    <row r="47" spans="1:92" ht="30" x14ac:dyDescent="0.35">
      <c r="A47" s="398"/>
      <c r="B47" s="275" t="s">
        <v>96</v>
      </c>
      <c r="C47" s="260"/>
      <c r="D47" s="261"/>
      <c r="E47" s="262"/>
      <c r="F47" s="262"/>
      <c r="G47" s="263">
        <v>1</v>
      </c>
      <c r="H47" s="264">
        <v>9</v>
      </c>
      <c r="I47" s="264">
        <v>21</v>
      </c>
      <c r="J47" s="265">
        <f t="shared" si="60"/>
        <v>12</v>
      </c>
      <c r="K47" s="266">
        <v>0</v>
      </c>
      <c r="L47" s="239">
        <v>9</v>
      </c>
      <c r="M47" s="239">
        <v>21</v>
      </c>
      <c r="N47" s="265">
        <f t="shared" si="61"/>
        <v>12</v>
      </c>
      <c r="O47" s="266">
        <v>0</v>
      </c>
      <c r="P47" s="239">
        <v>9</v>
      </c>
      <c r="Q47" s="239">
        <v>21</v>
      </c>
      <c r="R47" s="265">
        <f t="shared" si="62"/>
        <v>12</v>
      </c>
      <c r="S47" s="266">
        <v>0</v>
      </c>
      <c r="T47" s="239">
        <v>9</v>
      </c>
      <c r="U47" s="239">
        <v>21</v>
      </c>
      <c r="V47" s="265">
        <f t="shared" si="63"/>
        <v>12</v>
      </c>
      <c r="W47" s="266">
        <v>0</v>
      </c>
      <c r="X47" s="239">
        <v>9</v>
      </c>
      <c r="Y47" s="239">
        <v>21</v>
      </c>
      <c r="Z47" s="265">
        <f t="shared" si="64"/>
        <v>12</v>
      </c>
      <c r="AA47" s="266">
        <v>0</v>
      </c>
      <c r="AB47" s="239"/>
      <c r="AC47" s="239"/>
      <c r="AD47" s="265">
        <f t="shared" ref="AD47:AD48" si="65">IF(AB47="",0,IF((AC47-AB47&lt;=0),(24-AB47+AC47),(AC47-AB47)))</f>
        <v>0</v>
      </c>
      <c r="AE47" s="266">
        <v>0</v>
      </c>
      <c r="AF47" s="239"/>
      <c r="AG47" s="239"/>
      <c r="AH47" s="265">
        <f t="shared" ref="AH47:AH48" si="66">IF(AF47="",0,IF((AG47-AF47&lt;=0),(24-AF47+AG47),(AG47-AF47)))</f>
        <v>0</v>
      </c>
      <c r="AI47" s="266">
        <v>0</v>
      </c>
      <c r="AJ47" s="239">
        <v>9</v>
      </c>
      <c r="AK47" s="239">
        <v>21</v>
      </c>
      <c r="AL47" s="265">
        <f t="shared" ref="AL47:AL48" si="67">IF(AJ47="",0,IF((AK47-AJ47&lt;=0),(24-AJ47+AK47),(AK47-AJ47)))</f>
        <v>12</v>
      </c>
      <c r="AM47" s="266">
        <v>0</v>
      </c>
      <c r="AN47" s="274">
        <f>J47+N47+R47+V47+Z47+AD47+AH47+AL47</f>
        <v>72</v>
      </c>
      <c r="AO47" s="267">
        <f>IF(AN47=0,0,((J47*$C$114)+($D$114*N47)+(R47*$E$114)+(V47*$F$114)+($G$114*Z47)+(AD47*$H$115)+($I$116*AH47)+(AL47*$J$117)*G47))</f>
        <v>3216</v>
      </c>
      <c r="AP47" s="267">
        <f>IF(AN47=0,0,((K47*$C$114)+($D$114*O47)+(S47*$E$114)+(W47*$F$114)+($G$114*AA47)+(AE47*$H$115)+($I$116*AI47)+(AM47*$J$117)*G47))</f>
        <v>0</v>
      </c>
      <c r="AQ47" s="267">
        <f>AL47*$J$117*G47</f>
        <v>216</v>
      </c>
      <c r="AR47" s="268">
        <f>AO47/$L$113</f>
        <v>1.6047904191616766</v>
      </c>
      <c r="AS47" s="268">
        <f>AR47*0.09091</f>
        <v>0.14589149700598802</v>
      </c>
      <c r="AT47" s="268">
        <f>AS47+AR47</f>
        <v>1.7506819161676646</v>
      </c>
      <c r="AU47" s="269">
        <f>$BD$13</f>
        <v>1303</v>
      </c>
      <c r="AV47" s="270">
        <f>AU47/160</f>
        <v>8.1437500000000007</v>
      </c>
      <c r="AW47" s="271">
        <f>AV47*AO47</f>
        <v>26190.300000000003</v>
      </c>
      <c r="AX47" s="268">
        <f>$AX$13*AV47*AP47</f>
        <v>0</v>
      </c>
      <c r="AY47" s="268">
        <f>AV47*AQ47</f>
        <v>1759.0500000000002</v>
      </c>
      <c r="AZ47" s="272">
        <f>AV47*$AZ$13*AO47</f>
        <v>654.75750000000005</v>
      </c>
      <c r="BA47" s="268">
        <f t="shared" si="11"/>
        <v>28604.107500000002</v>
      </c>
      <c r="BB47" s="299">
        <f>(AW47+AX47+AY47+AZ47)*1.2359</f>
        <v>35351.816459250003</v>
      </c>
    </row>
    <row r="48" spans="1:92" s="15" customFormat="1" ht="30" x14ac:dyDescent="0.35">
      <c r="A48" s="276"/>
      <c r="B48" s="275" t="s">
        <v>100</v>
      </c>
      <c r="C48" s="260"/>
      <c r="D48" s="261"/>
      <c r="E48" s="262"/>
      <c r="F48" s="262"/>
      <c r="G48" s="277">
        <v>1</v>
      </c>
      <c r="H48" s="239">
        <v>8</v>
      </c>
      <c r="I48" s="239">
        <v>8</v>
      </c>
      <c r="J48" s="265">
        <f t="shared" si="60"/>
        <v>24</v>
      </c>
      <c r="K48" s="266">
        <v>8</v>
      </c>
      <c r="L48" s="239">
        <v>8</v>
      </c>
      <c r="M48" s="239">
        <v>8</v>
      </c>
      <c r="N48" s="265">
        <f t="shared" si="61"/>
        <v>24</v>
      </c>
      <c r="O48" s="266">
        <v>8</v>
      </c>
      <c r="P48" s="239">
        <v>8</v>
      </c>
      <c r="Q48" s="239">
        <v>8</v>
      </c>
      <c r="R48" s="265">
        <f t="shared" si="62"/>
        <v>24</v>
      </c>
      <c r="S48" s="266">
        <v>8</v>
      </c>
      <c r="T48" s="239">
        <v>8</v>
      </c>
      <c r="U48" s="239">
        <v>8</v>
      </c>
      <c r="V48" s="265">
        <f t="shared" si="63"/>
        <v>24</v>
      </c>
      <c r="W48" s="266">
        <v>8</v>
      </c>
      <c r="X48" s="239">
        <v>8</v>
      </c>
      <c r="Y48" s="239">
        <v>8</v>
      </c>
      <c r="Z48" s="265">
        <f t="shared" si="64"/>
        <v>24</v>
      </c>
      <c r="AA48" s="266">
        <v>8</v>
      </c>
      <c r="AB48" s="239">
        <v>8</v>
      </c>
      <c r="AC48" s="239">
        <v>8</v>
      </c>
      <c r="AD48" s="265">
        <f t="shared" si="65"/>
        <v>24</v>
      </c>
      <c r="AE48" s="266">
        <v>8</v>
      </c>
      <c r="AF48" s="239">
        <v>8</v>
      </c>
      <c r="AG48" s="239">
        <v>8</v>
      </c>
      <c r="AH48" s="265">
        <f t="shared" si="66"/>
        <v>24</v>
      </c>
      <c r="AI48" s="266">
        <v>8</v>
      </c>
      <c r="AJ48" s="239">
        <v>8</v>
      </c>
      <c r="AK48" s="239">
        <v>8</v>
      </c>
      <c r="AL48" s="265">
        <f t="shared" si="67"/>
        <v>24</v>
      </c>
      <c r="AM48" s="266">
        <v>8</v>
      </c>
      <c r="AN48" s="274">
        <f t="shared" ref="AN48" si="68">J48+N48+R48+V48+Z48+AD48+AH48+AL48</f>
        <v>192</v>
      </c>
      <c r="AO48" s="267">
        <f>IF(AN48=0,0,((J48*$C$114)+($D$114*N48)+(R48*$E$114)+(V48*$F$114)+($G$114*Z48)+(AD48*$H$115)+($I$116*AH48)+(AL48*$J$117)*G48))</f>
        <v>8736</v>
      </c>
      <c r="AP48" s="267">
        <f>IF(AN48=0,0,((K48*$C$114)+($D$114*O48)+(S48*$E$114)+(W48*$F$114)+($G$114*AA48)+(AE48*$H$115)+($I$116*AI48)+(AM48*$J$117)*G48))</f>
        <v>2912</v>
      </c>
      <c r="AQ48" s="267">
        <f>AL48*$J$117*G48</f>
        <v>432</v>
      </c>
      <c r="AR48" s="268">
        <f>AO48/$L$113</f>
        <v>4.3592814371257482</v>
      </c>
      <c r="AS48" s="268">
        <f t="shared" ref="AS48" si="69">AR48*0.09091</f>
        <v>0.39630227544910179</v>
      </c>
      <c r="AT48" s="268">
        <f t="shared" ref="AT48" si="70">AS48+AR48</f>
        <v>4.7555837125748504</v>
      </c>
      <c r="AU48" s="269">
        <f>$BD$13</f>
        <v>1303</v>
      </c>
      <c r="AV48" s="270">
        <f t="shared" ref="AV48" si="71">AU48/160</f>
        <v>8.1437500000000007</v>
      </c>
      <c r="AW48" s="271">
        <f>AV48*AO48</f>
        <v>71143.8</v>
      </c>
      <c r="AX48" s="268">
        <f>$AX$13*AV48*AP48</f>
        <v>11857.300000000001</v>
      </c>
      <c r="AY48" s="268">
        <f>AV48*AQ48</f>
        <v>3518.1000000000004</v>
      </c>
      <c r="AZ48" s="272">
        <f>AV48*$AZ$13*AO48</f>
        <v>1778.5950000000003</v>
      </c>
      <c r="BA48" s="268">
        <f t="shared" si="11"/>
        <v>88297.795000000013</v>
      </c>
      <c r="BB48" s="299">
        <f>((AW48+AX48+AY48+AZ48)*1.2359)+((AW48+AX48+AY48+AZ48)*$BD$19)+((AW48+AX48+AY48+AZ48)*$BE$19)+((AW48+AX48+AY48+AZ48)*$BF$19)</f>
        <v>138971.89955050001</v>
      </c>
      <c r="BC48" s="201"/>
      <c r="BD48" s="279"/>
      <c r="BE48" s="279"/>
      <c r="BF48" s="279"/>
      <c r="BG48" s="279"/>
      <c r="BH48" s="279"/>
      <c r="BI48" s="279"/>
      <c r="BJ48" s="279"/>
      <c r="BK48" s="279"/>
      <c r="BL48" s="279"/>
      <c r="BM48" s="279"/>
      <c r="BN48" s="279"/>
      <c r="BO48" s="279"/>
      <c r="BP48" s="279"/>
      <c r="BQ48" s="279"/>
      <c r="BR48" s="279"/>
      <c r="BS48" s="279"/>
      <c r="BT48" s="279"/>
      <c r="BU48" s="279"/>
      <c r="BV48" s="279"/>
      <c r="BW48" s="279"/>
      <c r="BX48" s="279"/>
      <c r="BY48" s="279"/>
      <c r="BZ48" s="279"/>
      <c r="CA48" s="279"/>
      <c r="CB48" s="279"/>
      <c r="CC48" s="279"/>
      <c r="CD48" s="279"/>
      <c r="CE48" s="279"/>
      <c r="CF48" s="279"/>
      <c r="CG48" s="279"/>
      <c r="CH48" s="279"/>
      <c r="CI48" s="279"/>
      <c r="CJ48" s="279"/>
    </row>
    <row r="49" spans="1:88" s="15" customFormat="1" ht="17.5" x14ac:dyDescent="0.35">
      <c r="A49" s="276"/>
      <c r="B49" s="275"/>
      <c r="C49" s="260"/>
      <c r="D49" s="261"/>
      <c r="E49" s="262"/>
      <c r="F49" s="262"/>
      <c r="G49" s="263"/>
      <c r="H49" s="264"/>
      <c r="I49" s="264"/>
      <c r="J49" s="282"/>
      <c r="K49" s="264"/>
      <c r="L49" s="264"/>
      <c r="M49" s="264"/>
      <c r="N49" s="282"/>
      <c r="O49" s="264"/>
      <c r="P49" s="264"/>
      <c r="Q49" s="264"/>
      <c r="R49" s="282"/>
      <c r="S49" s="264"/>
      <c r="T49" s="264"/>
      <c r="U49" s="264"/>
      <c r="V49" s="282"/>
      <c r="W49" s="264"/>
      <c r="X49" s="264"/>
      <c r="Y49" s="264"/>
      <c r="Z49" s="282"/>
      <c r="AA49" s="264"/>
      <c r="AB49" s="264"/>
      <c r="AC49" s="264"/>
      <c r="AD49" s="282"/>
      <c r="AE49" s="264"/>
      <c r="AF49" s="264"/>
      <c r="AG49" s="264"/>
      <c r="AH49" s="282"/>
      <c r="AI49" s="264"/>
      <c r="AJ49" s="264"/>
      <c r="AK49" s="264"/>
      <c r="AL49" s="282"/>
      <c r="AM49" s="264"/>
      <c r="AN49" s="264"/>
      <c r="AO49" s="267"/>
      <c r="AP49" s="267"/>
      <c r="AQ49" s="267"/>
      <c r="AR49" s="268"/>
      <c r="AS49" s="268"/>
      <c r="AT49" s="268"/>
      <c r="AU49" s="269"/>
      <c r="AV49" s="270"/>
      <c r="AW49" s="271"/>
      <c r="AX49" s="268"/>
      <c r="AY49" s="268"/>
      <c r="AZ49" s="272"/>
      <c r="BA49" s="268">
        <f t="shared" si="11"/>
        <v>0</v>
      </c>
      <c r="BB49" s="299"/>
      <c r="BC49" s="201"/>
      <c r="BD49" s="279"/>
      <c r="BE49" s="279"/>
      <c r="BF49" s="279"/>
      <c r="BG49" s="279"/>
      <c r="BH49" s="279"/>
      <c r="BI49" s="279"/>
      <c r="BJ49" s="279"/>
      <c r="BK49" s="279"/>
      <c r="BL49" s="279"/>
      <c r="BM49" s="279"/>
      <c r="BN49" s="279"/>
      <c r="BO49" s="279"/>
      <c r="BP49" s="279"/>
      <c r="BQ49" s="279"/>
      <c r="BR49" s="279"/>
      <c r="BS49" s="279"/>
      <c r="BT49" s="279"/>
      <c r="BU49" s="279"/>
      <c r="BV49" s="279"/>
      <c r="BW49" s="279"/>
      <c r="BX49" s="279"/>
      <c r="BY49" s="279"/>
      <c r="BZ49" s="279"/>
      <c r="CA49" s="279"/>
      <c r="CB49" s="279"/>
      <c r="CC49" s="279"/>
      <c r="CD49" s="279"/>
      <c r="CE49" s="279"/>
      <c r="CF49" s="279"/>
      <c r="CG49" s="279"/>
      <c r="CH49" s="279"/>
      <c r="CI49" s="279"/>
      <c r="CJ49" s="279"/>
    </row>
    <row r="50" spans="1:88" s="15" customFormat="1" ht="17.5" x14ac:dyDescent="0.35">
      <c r="A50" s="276"/>
      <c r="B50" s="275"/>
      <c r="C50" s="260"/>
      <c r="D50" s="261"/>
      <c r="E50" s="262"/>
      <c r="F50" s="262"/>
      <c r="G50" s="263"/>
      <c r="H50" s="264"/>
      <c r="I50" s="264"/>
      <c r="J50" s="282"/>
      <c r="K50" s="264"/>
      <c r="L50" s="264"/>
      <c r="M50" s="264"/>
      <c r="N50" s="282"/>
      <c r="O50" s="264"/>
      <c r="P50" s="264"/>
      <c r="Q50" s="264"/>
      <c r="R50" s="282"/>
      <c r="S50" s="264"/>
      <c r="T50" s="264"/>
      <c r="U50" s="264"/>
      <c r="V50" s="282"/>
      <c r="W50" s="264"/>
      <c r="X50" s="264"/>
      <c r="Y50" s="264"/>
      <c r="Z50" s="282"/>
      <c r="AA50" s="264"/>
      <c r="AB50" s="264"/>
      <c r="AC50" s="264"/>
      <c r="AD50" s="282"/>
      <c r="AE50" s="264"/>
      <c r="AF50" s="264"/>
      <c r="AG50" s="264"/>
      <c r="AH50" s="282"/>
      <c r="AI50" s="264"/>
      <c r="AJ50" s="264"/>
      <c r="AK50" s="264"/>
      <c r="AL50" s="282"/>
      <c r="AM50" s="264"/>
      <c r="AN50" s="264"/>
      <c r="AO50" s="267"/>
      <c r="AP50" s="267"/>
      <c r="AQ50" s="267"/>
      <c r="AR50" s="268"/>
      <c r="AS50" s="268"/>
      <c r="AT50" s="268"/>
      <c r="AU50" s="269"/>
      <c r="AV50" s="270"/>
      <c r="AW50" s="271"/>
      <c r="AX50" s="268"/>
      <c r="AY50" s="268"/>
      <c r="AZ50" s="272"/>
      <c r="BA50" s="268">
        <f t="shared" si="11"/>
        <v>0</v>
      </c>
      <c r="BB50" s="299"/>
      <c r="BC50" s="201"/>
      <c r="BD50" s="279"/>
      <c r="BE50" s="279"/>
      <c r="BF50" s="279"/>
      <c r="BG50" s="279"/>
      <c r="BH50" s="279"/>
      <c r="BI50" s="279"/>
      <c r="BJ50" s="279"/>
      <c r="BK50" s="279"/>
      <c r="BL50" s="279"/>
      <c r="BM50" s="279"/>
      <c r="BN50" s="279"/>
      <c r="BO50" s="279"/>
      <c r="BP50" s="279"/>
      <c r="BQ50" s="279"/>
      <c r="BR50" s="279"/>
      <c r="BS50" s="279"/>
      <c r="BT50" s="279"/>
      <c r="BU50" s="279"/>
      <c r="BV50" s="279"/>
      <c r="BW50" s="279"/>
      <c r="BX50" s="279"/>
      <c r="BY50" s="279"/>
      <c r="BZ50" s="279"/>
      <c r="CA50" s="279"/>
      <c r="CB50" s="279"/>
      <c r="CC50" s="279"/>
      <c r="CD50" s="279"/>
      <c r="CE50" s="279"/>
      <c r="CF50" s="279"/>
      <c r="CG50" s="279"/>
      <c r="CH50" s="279"/>
      <c r="CI50" s="279"/>
      <c r="CJ50" s="279"/>
    </row>
    <row r="51" spans="1:88" s="15" customFormat="1" ht="17.5" x14ac:dyDescent="0.35">
      <c r="A51" s="276"/>
      <c r="B51" s="275"/>
      <c r="C51" s="260"/>
      <c r="D51" s="261"/>
      <c r="E51" s="262"/>
      <c r="F51" s="262"/>
      <c r="G51" s="263"/>
      <c r="H51" s="264"/>
      <c r="I51" s="264"/>
      <c r="J51" s="282"/>
      <c r="K51" s="264"/>
      <c r="L51" s="264"/>
      <c r="M51" s="264"/>
      <c r="N51" s="282"/>
      <c r="O51" s="264"/>
      <c r="P51" s="264"/>
      <c r="Q51" s="264"/>
      <c r="R51" s="282"/>
      <c r="S51" s="264"/>
      <c r="T51" s="264"/>
      <c r="U51" s="264"/>
      <c r="V51" s="282"/>
      <c r="W51" s="264"/>
      <c r="X51" s="264"/>
      <c r="Y51" s="264"/>
      <c r="Z51" s="282"/>
      <c r="AA51" s="264"/>
      <c r="AB51" s="264"/>
      <c r="AC51" s="264"/>
      <c r="AD51" s="282"/>
      <c r="AE51" s="264"/>
      <c r="AF51" s="264"/>
      <c r="AG51" s="264"/>
      <c r="AH51" s="282"/>
      <c r="AI51" s="264"/>
      <c r="AJ51" s="264"/>
      <c r="AK51" s="264"/>
      <c r="AL51" s="282"/>
      <c r="AM51" s="264"/>
      <c r="AN51" s="264"/>
      <c r="AO51" s="267"/>
      <c r="AP51" s="267"/>
      <c r="AQ51" s="267"/>
      <c r="AR51" s="268"/>
      <c r="AS51" s="268"/>
      <c r="AT51" s="268"/>
      <c r="AU51" s="269"/>
      <c r="AV51" s="270"/>
      <c r="AW51" s="271"/>
      <c r="AX51" s="268"/>
      <c r="AY51" s="268"/>
      <c r="AZ51" s="272"/>
      <c r="BA51" s="268">
        <f t="shared" si="11"/>
        <v>0</v>
      </c>
      <c r="BB51" s="299"/>
      <c r="BC51" s="201"/>
      <c r="BD51" s="279"/>
      <c r="BE51" s="279"/>
      <c r="BF51" s="279"/>
      <c r="BG51" s="279"/>
      <c r="BH51" s="279"/>
      <c r="BI51" s="279"/>
      <c r="BJ51" s="279"/>
      <c r="BK51" s="279"/>
      <c r="BL51" s="279"/>
      <c r="BM51" s="279"/>
      <c r="BN51" s="279"/>
      <c r="BO51" s="279"/>
      <c r="BP51" s="279"/>
      <c r="BQ51" s="279"/>
      <c r="BR51" s="279"/>
      <c r="BS51" s="279"/>
      <c r="BT51" s="279"/>
      <c r="BU51" s="279"/>
      <c r="BV51" s="279"/>
      <c r="BW51" s="279"/>
      <c r="BX51" s="279"/>
      <c r="BY51" s="279"/>
      <c r="BZ51" s="279"/>
      <c r="CA51" s="279"/>
      <c r="CB51" s="279"/>
      <c r="CC51" s="279"/>
      <c r="CD51" s="279"/>
      <c r="CE51" s="279"/>
      <c r="CF51" s="279"/>
      <c r="CG51" s="279"/>
      <c r="CH51" s="279"/>
      <c r="CI51" s="279"/>
      <c r="CJ51" s="279"/>
    </row>
    <row r="52" spans="1:88" ht="17.5" x14ac:dyDescent="0.35">
      <c r="A52" s="397" t="s">
        <v>141</v>
      </c>
      <c r="B52" s="204" t="s">
        <v>174</v>
      </c>
      <c r="C52" s="260"/>
      <c r="D52" s="261"/>
      <c r="E52" s="262"/>
      <c r="F52" s="262"/>
      <c r="G52" s="263">
        <v>1</v>
      </c>
      <c r="H52" s="264"/>
      <c r="I52" s="264"/>
      <c r="J52" s="265"/>
      <c r="K52" s="266"/>
      <c r="L52" s="264"/>
      <c r="M52" s="264"/>
      <c r="N52" s="265"/>
      <c r="O52" s="266"/>
      <c r="P52" s="264"/>
      <c r="Q52" s="264"/>
      <c r="R52" s="265"/>
      <c r="S52" s="266"/>
      <c r="T52" s="264"/>
      <c r="U52" s="264"/>
      <c r="V52" s="265"/>
      <c r="W52" s="266"/>
      <c r="X52" s="264"/>
      <c r="Y52" s="264"/>
      <c r="Z52" s="265"/>
      <c r="AA52" s="266"/>
      <c r="AB52" s="264">
        <v>8</v>
      </c>
      <c r="AC52" s="264">
        <v>16</v>
      </c>
      <c r="AD52" s="265">
        <f t="shared" ref="AD52" si="72">IF(AB52="",0,IF((AC52-AB52&lt;=0),(24-AB52+AC52),(AC52-AB52)))</f>
        <v>8</v>
      </c>
      <c r="AE52" s="266"/>
      <c r="AF52" s="264">
        <v>8</v>
      </c>
      <c r="AG52" s="264">
        <v>16</v>
      </c>
      <c r="AH52" s="265">
        <f t="shared" ref="AH52" si="73">IF(AF52="",0,IF((AG52-AF52&lt;=0),(24-AF52+AG52),(AG52-AF52)))</f>
        <v>8</v>
      </c>
      <c r="AI52" s="266"/>
      <c r="AJ52" s="264">
        <v>8</v>
      </c>
      <c r="AK52" s="264">
        <v>16</v>
      </c>
      <c r="AL52" s="265">
        <f t="shared" ref="AL52" si="74">IF(AJ52="",0,IF((AK52-AJ52&lt;=0),(24-AJ52+AK52),(AK52-AJ52)))</f>
        <v>8</v>
      </c>
      <c r="AM52" s="266"/>
      <c r="AN52" s="264">
        <f>J52+N52+R52+V52+Z52+AD52+AH52+AL52</f>
        <v>24</v>
      </c>
      <c r="AO52" s="267">
        <f>IF(AN52=0,0,((J52*$C$114)+($D$114*N52)+(R52*$E$114)+(V52*$F$114)+($G$114*Z52)+(AD52*$H$115)+($I$116*AH52)+(AL52*$J$117)*G52))</f>
        <v>912</v>
      </c>
      <c r="AP52" s="267">
        <f>IF(AN52=0,0,((K52*$C$114)+($D$114*O52)+(S52*$E$114)+(W52*$F$114)+($G$114*AA52)+(AE52*$H$115)+($I$116*AI52)+(AM52*$J$117)*G52))</f>
        <v>0</v>
      </c>
      <c r="AQ52" s="267">
        <f>AL52*$J$117*G52</f>
        <v>144</v>
      </c>
      <c r="AR52" s="268">
        <f>AO52/$L$113</f>
        <v>0.45508982035928142</v>
      </c>
      <c r="AS52" s="268">
        <f>AR52*0.09091</f>
        <v>4.1372215568862274E-2</v>
      </c>
      <c r="AT52" s="268">
        <f>AS52+AR52</f>
        <v>0.4964620359281437</v>
      </c>
      <c r="AU52" s="269">
        <f>$BD$14</f>
        <v>865</v>
      </c>
      <c r="AV52" s="270">
        <f>AU52/160</f>
        <v>5.40625</v>
      </c>
      <c r="AW52" s="271">
        <f>AV52*AO52</f>
        <v>4930.5</v>
      </c>
      <c r="AX52" s="268">
        <f>$AX$13*AV52*AP52</f>
        <v>0</v>
      </c>
      <c r="AY52" s="268">
        <f>AV52*AQ52</f>
        <v>778.5</v>
      </c>
      <c r="AZ52" s="272">
        <f>AV52*$AZ$13*AO52</f>
        <v>123.2625</v>
      </c>
      <c r="BA52" s="268">
        <f t="shared" si="11"/>
        <v>5832.2624999999998</v>
      </c>
      <c r="BB52" s="299">
        <f>(AW52+AX52+AY52+AZ52)*1.2359</f>
        <v>7208.0932237500001</v>
      </c>
    </row>
    <row r="53" spans="1:88" ht="17.5" x14ac:dyDescent="0.35">
      <c r="A53" s="397"/>
      <c r="B53" s="204" t="s">
        <v>175</v>
      </c>
      <c r="C53" s="260"/>
      <c r="D53" s="261"/>
      <c r="E53" s="262"/>
      <c r="F53" s="262"/>
      <c r="G53" s="263">
        <v>1</v>
      </c>
      <c r="H53" s="264">
        <v>16</v>
      </c>
      <c r="I53" s="264">
        <v>8</v>
      </c>
      <c r="J53" s="265">
        <f t="shared" ref="J53:J55" si="75">IF(H53="",0,IF((I53-H53&lt;=0),(24-H53+I53),(I53-H53)))</f>
        <v>16</v>
      </c>
      <c r="K53" s="266">
        <v>8</v>
      </c>
      <c r="L53" s="239">
        <v>16</v>
      </c>
      <c r="M53" s="239">
        <v>8</v>
      </c>
      <c r="N53" s="265">
        <f t="shared" ref="N53:N55" si="76">IF(L53="",0,IF((M53-L53&lt;=0),(24-L53+M53),(M53-L53)))</f>
        <v>16</v>
      </c>
      <c r="O53" s="266">
        <v>8</v>
      </c>
      <c r="P53" s="239">
        <v>16</v>
      </c>
      <c r="Q53" s="239">
        <v>8</v>
      </c>
      <c r="R53" s="265">
        <f t="shared" ref="R53:R55" si="77">IF(P53="",0,IF((Q53-P53&lt;=0),(24-P53+Q53),(Q53-P53)))</f>
        <v>16</v>
      </c>
      <c r="S53" s="266">
        <v>8</v>
      </c>
      <c r="T53" s="239">
        <v>16</v>
      </c>
      <c r="U53" s="239">
        <v>8</v>
      </c>
      <c r="V53" s="265">
        <f t="shared" ref="V53:V55" si="78">IF(T53="",0,IF((U53-T53&lt;=0),(24-T53+U53),(U53-T53)))</f>
        <v>16</v>
      </c>
      <c r="W53" s="266">
        <v>8</v>
      </c>
      <c r="X53" s="239">
        <v>16</v>
      </c>
      <c r="Y53" s="239">
        <v>8</v>
      </c>
      <c r="Z53" s="265">
        <f t="shared" ref="Z53:Z55" si="79">IF(X53="",0,IF((Y53-X53&lt;=0),(24-X53+Y53),(Y53-X53)))</f>
        <v>16</v>
      </c>
      <c r="AA53" s="266">
        <v>8</v>
      </c>
      <c r="AB53" s="239"/>
      <c r="AC53" s="239"/>
      <c r="AD53" s="265"/>
      <c r="AE53" s="266"/>
      <c r="AF53" s="239"/>
      <c r="AG53" s="239"/>
      <c r="AH53" s="265"/>
      <c r="AI53" s="266"/>
      <c r="AJ53" s="239"/>
      <c r="AK53" s="239"/>
      <c r="AL53" s="265"/>
      <c r="AM53" s="266"/>
      <c r="AN53" s="283">
        <f t="shared" ref="AN53:AN55" si="80">J53+N53+R53+V53+Z53+AD53+AH53+AL53</f>
        <v>80</v>
      </c>
      <c r="AO53" s="267">
        <f>IF(AN53=0,0,((J53*$C$114)+($D$114*N53)+(R53*$E$114)+(V53*$F$114)+($G$114*Z53)+(AD53*$H$115)+($I$116*AH53)+(AL53*$J$117)*G53))</f>
        <v>4000</v>
      </c>
      <c r="AP53" s="267">
        <f>IF(AN53=0,0,((K53*$C$114)+($D$114*O53)+(S53*$E$114)+(W53*$F$114)+($G$114*AA53)+(AE53*$H$115)+($I$116*AI53)+(AM53*$J$117)*G53))</f>
        <v>2000</v>
      </c>
      <c r="AQ53" s="267">
        <f>AL53*$J$117*G53</f>
        <v>0</v>
      </c>
      <c r="AR53" s="268">
        <f>AO53/$L$113</f>
        <v>1.996007984031936</v>
      </c>
      <c r="AS53" s="268">
        <f>AR53*0.09091</f>
        <v>0.1814570858283433</v>
      </c>
      <c r="AT53" s="268">
        <f>AS53+AR53</f>
        <v>2.1774650698602791</v>
      </c>
      <c r="AU53" s="269">
        <f>$BD$14</f>
        <v>865</v>
      </c>
      <c r="AV53" s="270">
        <f>AU53/160</f>
        <v>5.40625</v>
      </c>
      <c r="AW53" s="271">
        <f>AV53*AO53</f>
        <v>21625</v>
      </c>
      <c r="AX53" s="268">
        <f>$AX$13*AV53*AP53</f>
        <v>5406.25</v>
      </c>
      <c r="AY53" s="268">
        <f>AV53*AQ53</f>
        <v>0</v>
      </c>
      <c r="AZ53" s="272">
        <f>AV53*$AZ$13*AO53</f>
        <v>540.625</v>
      </c>
      <c r="BA53" s="268">
        <f t="shared" si="11"/>
        <v>27571.875</v>
      </c>
      <c r="BB53" s="299">
        <f>(AW53+AX53+AY53+AZ53)*1.2359</f>
        <v>34076.080312500002</v>
      </c>
    </row>
    <row r="54" spans="1:88" ht="30" x14ac:dyDescent="0.35">
      <c r="A54" s="397"/>
      <c r="B54" s="275" t="s">
        <v>96</v>
      </c>
      <c r="C54" s="260"/>
      <c r="D54" s="261"/>
      <c r="E54" s="262"/>
      <c r="F54" s="262"/>
      <c r="G54" s="263">
        <v>1</v>
      </c>
      <c r="H54" s="264">
        <v>9</v>
      </c>
      <c r="I54" s="264">
        <v>21</v>
      </c>
      <c r="J54" s="265">
        <f t="shared" si="75"/>
        <v>12</v>
      </c>
      <c r="K54" s="266">
        <v>0</v>
      </c>
      <c r="L54" s="239">
        <v>9</v>
      </c>
      <c r="M54" s="239">
        <v>21</v>
      </c>
      <c r="N54" s="265">
        <f t="shared" si="76"/>
        <v>12</v>
      </c>
      <c r="O54" s="266">
        <v>0</v>
      </c>
      <c r="P54" s="239">
        <v>9</v>
      </c>
      <c r="Q54" s="239">
        <v>21</v>
      </c>
      <c r="R54" s="265">
        <f t="shared" si="77"/>
        <v>12</v>
      </c>
      <c r="S54" s="266">
        <v>0</v>
      </c>
      <c r="T54" s="239">
        <v>9</v>
      </c>
      <c r="U54" s="239">
        <v>21</v>
      </c>
      <c r="V54" s="265">
        <f t="shared" si="78"/>
        <v>12</v>
      </c>
      <c r="W54" s="266">
        <v>0</v>
      </c>
      <c r="X54" s="239">
        <v>9</v>
      </c>
      <c r="Y54" s="239">
        <v>21</v>
      </c>
      <c r="Z54" s="265">
        <f t="shared" si="79"/>
        <v>12</v>
      </c>
      <c r="AA54" s="266">
        <v>0</v>
      </c>
      <c r="AB54" s="239"/>
      <c r="AC54" s="239"/>
      <c r="AD54" s="265">
        <f t="shared" ref="AD54:AD55" si="81">IF(AB54="",0,IF((AC54-AB54&lt;=0),(24-AB54+AC54),(AC54-AB54)))</f>
        <v>0</v>
      </c>
      <c r="AE54" s="266">
        <v>0</v>
      </c>
      <c r="AF54" s="239"/>
      <c r="AG54" s="239"/>
      <c r="AH54" s="265">
        <f t="shared" ref="AH54:AH55" si="82">IF(AF54="",0,IF((AG54-AF54&lt;=0),(24-AF54+AG54),(AG54-AF54)))</f>
        <v>0</v>
      </c>
      <c r="AI54" s="266">
        <v>0</v>
      </c>
      <c r="AJ54" s="239">
        <v>9</v>
      </c>
      <c r="AK54" s="239">
        <v>21</v>
      </c>
      <c r="AL54" s="265">
        <f t="shared" ref="AL54:AL55" si="83">IF(AJ54="",0,IF((AK54-AJ54&lt;=0),(24-AJ54+AK54),(AK54-AJ54)))</f>
        <v>12</v>
      </c>
      <c r="AM54" s="266">
        <v>0</v>
      </c>
      <c r="AN54" s="283">
        <f t="shared" si="80"/>
        <v>72</v>
      </c>
      <c r="AO54" s="267">
        <f>IF(AN54=0,0,((J54*$C$114)+($D$114*N54)+(R54*$E$114)+(V54*$F$114)+($G$114*Z54)+(AD54*$H$115)+($I$116*AH54)+(AL54*$J$117)*G54))</f>
        <v>3216</v>
      </c>
      <c r="AP54" s="267">
        <f>IF(AN54=0,0,((K54*$C$114)+($D$114*O54)+(S54*$E$114)+(W54*$F$114)+($G$114*AA54)+(AE54*$H$115)+($I$116*AI54)+(AM54*$J$117)*G54))</f>
        <v>0</v>
      </c>
      <c r="AQ54" s="267">
        <f>AL54*$J$117*G54</f>
        <v>216</v>
      </c>
      <c r="AR54" s="268">
        <f>AO54/$L$113</f>
        <v>1.6047904191616766</v>
      </c>
      <c r="AS54" s="268">
        <f>AR54*0.09091</f>
        <v>0.14589149700598802</v>
      </c>
      <c r="AT54" s="268">
        <f>AS54+AR54</f>
        <v>1.7506819161676646</v>
      </c>
      <c r="AU54" s="269">
        <f>$BD$14</f>
        <v>865</v>
      </c>
      <c r="AV54" s="270">
        <f>AU54/160</f>
        <v>5.40625</v>
      </c>
      <c r="AW54" s="271">
        <f>AV54*AO54</f>
        <v>17386.5</v>
      </c>
      <c r="AX54" s="268">
        <f>$AX$13*AV54*AP54</f>
        <v>0</v>
      </c>
      <c r="AY54" s="268">
        <f>AV54*AQ54</f>
        <v>1167.75</v>
      </c>
      <c r="AZ54" s="272">
        <f>AV54*$AZ$13*AO54</f>
        <v>434.66250000000002</v>
      </c>
      <c r="BA54" s="268">
        <f t="shared" si="11"/>
        <v>18988.912499999999</v>
      </c>
      <c r="BB54" s="299">
        <f>(AW54+AX54+AY54+AZ54)*1.2359</f>
        <v>23468.39695875</v>
      </c>
    </row>
    <row r="55" spans="1:88" s="15" customFormat="1" ht="30" x14ac:dyDescent="0.35">
      <c r="A55" s="276"/>
      <c r="B55" s="275" t="s">
        <v>100</v>
      </c>
      <c r="C55" s="260"/>
      <c r="D55" s="261"/>
      <c r="E55" s="262"/>
      <c r="F55" s="262"/>
      <c r="G55" s="277">
        <v>1</v>
      </c>
      <c r="H55" s="239">
        <v>8</v>
      </c>
      <c r="I55" s="239">
        <v>8</v>
      </c>
      <c r="J55" s="265">
        <f t="shared" si="75"/>
        <v>24</v>
      </c>
      <c r="K55" s="266">
        <v>8</v>
      </c>
      <c r="L55" s="239">
        <v>8</v>
      </c>
      <c r="M55" s="239">
        <v>8</v>
      </c>
      <c r="N55" s="265">
        <f t="shared" si="76"/>
        <v>24</v>
      </c>
      <c r="O55" s="266">
        <v>8</v>
      </c>
      <c r="P55" s="239">
        <v>8</v>
      </c>
      <c r="Q55" s="239">
        <v>8</v>
      </c>
      <c r="R55" s="265">
        <f t="shared" si="77"/>
        <v>24</v>
      </c>
      <c r="S55" s="266">
        <v>8</v>
      </c>
      <c r="T55" s="239">
        <v>8</v>
      </c>
      <c r="U55" s="239">
        <v>8</v>
      </c>
      <c r="V55" s="265">
        <f t="shared" si="78"/>
        <v>24</v>
      </c>
      <c r="W55" s="266">
        <v>8</v>
      </c>
      <c r="X55" s="239">
        <v>8</v>
      </c>
      <c r="Y55" s="239">
        <v>8</v>
      </c>
      <c r="Z55" s="265">
        <f t="shared" si="79"/>
        <v>24</v>
      </c>
      <c r="AA55" s="266">
        <v>8</v>
      </c>
      <c r="AB55" s="239">
        <v>8</v>
      </c>
      <c r="AC55" s="239">
        <v>8</v>
      </c>
      <c r="AD55" s="265">
        <f t="shared" si="81"/>
        <v>24</v>
      </c>
      <c r="AE55" s="266">
        <v>8</v>
      </c>
      <c r="AF55" s="239">
        <v>8</v>
      </c>
      <c r="AG55" s="239">
        <v>8</v>
      </c>
      <c r="AH55" s="265">
        <f t="shared" si="82"/>
        <v>24</v>
      </c>
      <c r="AI55" s="266">
        <v>8</v>
      </c>
      <c r="AJ55" s="239">
        <v>8</v>
      </c>
      <c r="AK55" s="239">
        <v>8</v>
      </c>
      <c r="AL55" s="265">
        <f t="shared" si="83"/>
        <v>24</v>
      </c>
      <c r="AM55" s="266">
        <v>8</v>
      </c>
      <c r="AN55" s="283">
        <f t="shared" si="80"/>
        <v>192</v>
      </c>
      <c r="AO55" s="267">
        <f>IF(AN55=0,0,((J55*$C$114)+($D$114*N55)+(R55*$E$114)+(V55*$F$114)+($G$114*Z55)+(AD55*$H$115)+($I$116*AH55)+(AL55*$J$117)*G55))</f>
        <v>8736</v>
      </c>
      <c r="AP55" s="267">
        <f>IF(AN55=0,0,((K55*$C$114)+($D$114*O55)+(S55*$E$114)+(W55*$F$114)+($G$114*AA55)+(AE55*$H$115)+($I$116*AI55)+(AM55*$J$117)*G55))</f>
        <v>2912</v>
      </c>
      <c r="AQ55" s="267">
        <f>AL55*$J$117*G55</f>
        <v>432</v>
      </c>
      <c r="AR55" s="268">
        <f>AO55/$L$113</f>
        <v>4.3592814371257482</v>
      </c>
      <c r="AS55" s="268">
        <f t="shared" ref="AS55" si="84">AR55*0.09091</f>
        <v>0.39630227544910179</v>
      </c>
      <c r="AT55" s="268">
        <f t="shared" ref="AT55" si="85">AS55+AR55</f>
        <v>4.7555837125748504</v>
      </c>
      <c r="AU55" s="269">
        <f>$BD$14</f>
        <v>865</v>
      </c>
      <c r="AV55" s="270">
        <f t="shared" ref="AV55" si="86">AU55/160</f>
        <v>5.40625</v>
      </c>
      <c r="AW55" s="271">
        <f>AV55*AO55</f>
        <v>47229</v>
      </c>
      <c r="AX55" s="268">
        <f>$AX$13*AV55*AP55</f>
        <v>7871.5</v>
      </c>
      <c r="AY55" s="268">
        <f>AV55*AQ55</f>
        <v>2335.5</v>
      </c>
      <c r="AZ55" s="272">
        <f>AV55*$AZ$13*AO55</f>
        <v>1180.7250000000001</v>
      </c>
      <c r="BA55" s="268">
        <f t="shared" si="11"/>
        <v>58616.724999999999</v>
      </c>
      <c r="BB55" s="299">
        <f>((AW55+AX55+AY55+AZ55)*1.2359)+((AW55+AX55+AY55+AZ55)*$BD$19)+((AW55+AX55+AY55+AZ55)*$BE$19)+((AW55+AX55+AY55+AZ55)*$BF$19)</f>
        <v>92256.863477499995</v>
      </c>
      <c r="BC55" s="201"/>
      <c r="BD55" s="279"/>
      <c r="BE55" s="279"/>
      <c r="BF55" s="279"/>
      <c r="BG55" s="279"/>
      <c r="BH55" s="279"/>
      <c r="BI55" s="279"/>
      <c r="BJ55" s="279"/>
      <c r="BK55" s="279"/>
      <c r="BL55" s="279"/>
      <c r="BM55" s="279"/>
      <c r="BN55" s="279"/>
      <c r="BO55" s="279"/>
      <c r="BP55" s="279"/>
      <c r="BQ55" s="279"/>
      <c r="BR55" s="279"/>
      <c r="BS55" s="279"/>
      <c r="BT55" s="279"/>
      <c r="BU55" s="279"/>
      <c r="BV55" s="279"/>
      <c r="BW55" s="279"/>
      <c r="BX55" s="279"/>
      <c r="BY55" s="279"/>
      <c r="BZ55" s="279"/>
      <c r="CA55" s="279"/>
      <c r="CB55" s="279"/>
      <c r="CC55" s="279"/>
      <c r="CD55" s="279"/>
      <c r="CE55" s="279"/>
      <c r="CF55" s="279"/>
      <c r="CG55" s="279"/>
      <c r="CH55" s="279"/>
      <c r="CI55" s="279"/>
      <c r="CJ55" s="279"/>
    </row>
    <row r="56" spans="1:88" s="15" customFormat="1" ht="17.5" x14ac:dyDescent="0.35">
      <c r="A56" s="276"/>
      <c r="B56" s="275"/>
      <c r="C56" s="260"/>
      <c r="D56" s="261"/>
      <c r="E56" s="262"/>
      <c r="F56" s="262"/>
      <c r="G56" s="263"/>
      <c r="H56" s="264"/>
      <c r="I56" s="264"/>
      <c r="J56" s="282"/>
      <c r="K56" s="264"/>
      <c r="L56" s="264"/>
      <c r="M56" s="264"/>
      <c r="N56" s="282"/>
      <c r="O56" s="264"/>
      <c r="P56" s="264"/>
      <c r="Q56" s="264"/>
      <c r="R56" s="282"/>
      <c r="S56" s="264"/>
      <c r="T56" s="264"/>
      <c r="U56" s="264"/>
      <c r="V56" s="282"/>
      <c r="W56" s="264"/>
      <c r="X56" s="264"/>
      <c r="Y56" s="264"/>
      <c r="Z56" s="282"/>
      <c r="AA56" s="264"/>
      <c r="AB56" s="264"/>
      <c r="AC56" s="264"/>
      <c r="AD56" s="282"/>
      <c r="AE56" s="264"/>
      <c r="AF56" s="264"/>
      <c r="AG56" s="264"/>
      <c r="AH56" s="282"/>
      <c r="AI56" s="264"/>
      <c r="AJ56" s="264"/>
      <c r="AK56" s="264"/>
      <c r="AL56" s="282"/>
      <c r="AM56" s="264"/>
      <c r="AN56" s="264"/>
      <c r="AO56" s="267"/>
      <c r="AP56" s="267"/>
      <c r="AQ56" s="267"/>
      <c r="AR56" s="268"/>
      <c r="AS56" s="268"/>
      <c r="AT56" s="268"/>
      <c r="AU56" s="269"/>
      <c r="AV56" s="270"/>
      <c r="AW56" s="271"/>
      <c r="AX56" s="268"/>
      <c r="AY56" s="268"/>
      <c r="AZ56" s="268"/>
      <c r="BA56" s="300"/>
      <c r="BB56" s="201"/>
      <c r="BC56" s="279"/>
      <c r="BD56" s="279"/>
      <c r="BE56" s="279"/>
      <c r="BF56" s="279"/>
      <c r="BG56" s="279"/>
      <c r="BH56" s="279"/>
      <c r="BI56" s="279"/>
      <c r="BJ56" s="279"/>
      <c r="BK56" s="279"/>
      <c r="BL56" s="279"/>
      <c r="BM56" s="279"/>
      <c r="BN56" s="279"/>
      <c r="BO56" s="279"/>
      <c r="BP56" s="279"/>
      <c r="BQ56" s="279"/>
      <c r="BR56" s="279"/>
      <c r="BS56" s="279"/>
      <c r="BT56" s="279"/>
      <c r="BU56" s="279"/>
      <c r="BV56" s="279"/>
      <c r="BW56" s="279"/>
      <c r="BX56" s="279"/>
      <c r="BY56" s="279"/>
      <c r="BZ56" s="279"/>
      <c r="CA56" s="279"/>
      <c r="CB56" s="279"/>
      <c r="CC56" s="279"/>
      <c r="CD56" s="279"/>
      <c r="CE56" s="279"/>
      <c r="CF56" s="279"/>
      <c r="CG56" s="279"/>
      <c r="CH56" s="279"/>
      <c r="CI56" s="279"/>
      <c r="CJ56" s="279"/>
    </row>
    <row r="57" spans="1:88" s="15" customFormat="1" ht="17.5" x14ac:dyDescent="0.35">
      <c r="A57" s="276"/>
      <c r="B57" s="275"/>
      <c r="C57" s="260"/>
      <c r="D57" s="261"/>
      <c r="E57" s="262"/>
      <c r="F57" s="262"/>
      <c r="G57" s="263"/>
      <c r="H57" s="264"/>
      <c r="I57" s="264"/>
      <c r="J57" s="282"/>
      <c r="K57" s="264"/>
      <c r="L57" s="264"/>
      <c r="M57" s="264"/>
      <c r="N57" s="282"/>
      <c r="O57" s="264"/>
      <c r="P57" s="264"/>
      <c r="Q57" s="264"/>
      <c r="R57" s="282"/>
      <c r="S57" s="264"/>
      <c r="T57" s="264"/>
      <c r="U57" s="264"/>
      <c r="V57" s="282"/>
      <c r="W57" s="264"/>
      <c r="X57" s="264"/>
      <c r="Y57" s="264"/>
      <c r="Z57" s="282"/>
      <c r="AA57" s="264"/>
      <c r="AB57" s="264"/>
      <c r="AC57" s="264"/>
      <c r="AD57" s="282"/>
      <c r="AE57" s="264"/>
      <c r="AF57" s="264"/>
      <c r="AG57" s="264"/>
      <c r="AH57" s="282"/>
      <c r="AI57" s="264"/>
      <c r="AJ57" s="264"/>
      <c r="AK57" s="264"/>
      <c r="AL57" s="282"/>
      <c r="AM57" s="264"/>
      <c r="AN57" s="264"/>
      <c r="AO57" s="301"/>
      <c r="AP57" s="301"/>
      <c r="AQ57" s="301"/>
      <c r="AR57" s="302"/>
      <c r="AS57" s="302"/>
      <c r="AT57" s="302"/>
      <c r="AU57" s="303"/>
      <c r="AV57" s="304"/>
      <c r="AW57" s="305"/>
      <c r="AX57" s="302"/>
      <c r="AY57" s="302"/>
      <c r="AZ57" s="302"/>
      <c r="BA57" s="300"/>
      <c r="BB57" s="201"/>
      <c r="BC57" s="279"/>
      <c r="BD57" s="279"/>
      <c r="BE57" s="279"/>
      <c r="BF57" s="279"/>
      <c r="BG57" s="279"/>
      <c r="BH57" s="279"/>
      <c r="BI57" s="279"/>
      <c r="BJ57" s="279"/>
      <c r="BK57" s="279"/>
      <c r="BL57" s="279"/>
      <c r="BM57" s="279"/>
      <c r="BN57" s="279"/>
      <c r="BO57" s="279"/>
      <c r="BP57" s="279"/>
      <c r="BQ57" s="279"/>
      <c r="BR57" s="279"/>
      <c r="BS57" s="279"/>
      <c r="BT57" s="279"/>
      <c r="BU57" s="279"/>
      <c r="BV57" s="279"/>
      <c r="BW57" s="279"/>
      <c r="BX57" s="279"/>
      <c r="BY57" s="279"/>
      <c r="BZ57" s="279"/>
      <c r="CA57" s="279"/>
      <c r="CB57" s="279"/>
      <c r="CC57" s="279"/>
      <c r="CD57" s="279"/>
      <c r="CE57" s="279"/>
      <c r="CF57" s="279"/>
      <c r="CG57" s="279"/>
      <c r="CH57" s="279"/>
      <c r="CI57" s="279"/>
      <c r="CJ57" s="279"/>
    </row>
    <row r="58" spans="1:88" ht="31.5" thickBot="1" x14ac:dyDescent="0.45">
      <c r="B58" s="396" t="s">
        <v>144</v>
      </c>
      <c r="C58" s="396"/>
      <c r="D58" s="396"/>
      <c r="E58" s="396"/>
      <c r="F58" s="396"/>
      <c r="G58" s="396"/>
      <c r="H58" s="396"/>
      <c r="I58" s="396"/>
      <c r="J58" s="396"/>
      <c r="K58" s="396"/>
      <c r="L58" s="396"/>
      <c r="M58" s="396"/>
      <c r="N58" s="396"/>
      <c r="Y58" s="306"/>
    </row>
    <row r="59" spans="1:88" ht="58.5" thickBot="1" x14ac:dyDescent="0.45">
      <c r="B59" s="307" t="s">
        <v>145</v>
      </c>
      <c r="C59" s="308" t="s">
        <v>146</v>
      </c>
      <c r="D59" s="308" t="s">
        <v>147</v>
      </c>
      <c r="E59" s="308" t="s">
        <v>148</v>
      </c>
      <c r="F59" s="308" t="s">
        <v>149</v>
      </c>
      <c r="G59" s="309" t="s">
        <v>146</v>
      </c>
      <c r="H59" s="310" t="s">
        <v>150</v>
      </c>
      <c r="I59" s="311" t="s">
        <v>151</v>
      </c>
      <c r="J59" s="312" t="s">
        <v>152</v>
      </c>
      <c r="K59" s="307" t="s">
        <v>153</v>
      </c>
      <c r="L59" s="313" t="s">
        <v>154</v>
      </c>
      <c r="M59" s="313" t="s">
        <v>155</v>
      </c>
      <c r="N59" s="314" t="s">
        <v>156</v>
      </c>
    </row>
    <row r="60" spans="1:88" x14ac:dyDescent="0.4">
      <c r="B60" s="315" t="s">
        <v>157</v>
      </c>
      <c r="C60" s="316"/>
      <c r="D60" s="317"/>
      <c r="E60" s="317"/>
      <c r="F60" s="317"/>
      <c r="G60" s="317"/>
      <c r="H60" s="318"/>
      <c r="I60" s="319">
        <v>1</v>
      </c>
      <c r="J60" s="320"/>
      <c r="K60" s="321">
        <v>22</v>
      </c>
      <c r="L60" s="322">
        <v>176</v>
      </c>
      <c r="M60" s="323">
        <v>1</v>
      </c>
      <c r="N60" s="324"/>
      <c r="AX60" s="325"/>
    </row>
    <row r="61" spans="1:88" x14ac:dyDescent="0.4">
      <c r="B61" s="326"/>
      <c r="C61" s="327">
        <f t="shared" ref="C61:C77" si="87">I60+1</f>
        <v>2</v>
      </c>
      <c r="D61" s="327">
        <f t="shared" ref="D61:I76" si="88">C61+1</f>
        <v>3</v>
      </c>
      <c r="E61" s="327">
        <f t="shared" si="88"/>
        <v>4</v>
      </c>
      <c r="F61" s="327">
        <f t="shared" si="88"/>
        <v>5</v>
      </c>
      <c r="G61" s="327">
        <f t="shared" si="88"/>
        <v>6</v>
      </c>
      <c r="H61" s="328">
        <f t="shared" si="88"/>
        <v>7</v>
      </c>
      <c r="I61" s="329">
        <f t="shared" si="88"/>
        <v>8</v>
      </c>
      <c r="J61" s="330"/>
      <c r="K61" s="331"/>
      <c r="L61" s="332"/>
      <c r="M61" s="332"/>
      <c r="N61" s="333"/>
    </row>
    <row r="62" spans="1:88" x14ac:dyDescent="0.4">
      <c r="B62" s="326"/>
      <c r="C62" s="327">
        <f t="shared" si="87"/>
        <v>9</v>
      </c>
      <c r="D62" s="327">
        <f t="shared" si="88"/>
        <v>10</v>
      </c>
      <c r="E62" s="327">
        <f t="shared" si="88"/>
        <v>11</v>
      </c>
      <c r="F62" s="327">
        <f t="shared" si="88"/>
        <v>12</v>
      </c>
      <c r="G62" s="327">
        <f t="shared" si="88"/>
        <v>13</v>
      </c>
      <c r="H62" s="328">
        <f t="shared" si="88"/>
        <v>14</v>
      </c>
      <c r="I62" s="329">
        <f t="shared" si="88"/>
        <v>15</v>
      </c>
      <c r="J62" s="330"/>
      <c r="K62" s="331"/>
      <c r="L62" s="332"/>
      <c r="M62" s="332"/>
      <c r="N62" s="333"/>
    </row>
    <row r="63" spans="1:88" x14ac:dyDescent="0.4">
      <c r="B63" s="326"/>
      <c r="C63" s="327">
        <f t="shared" si="87"/>
        <v>16</v>
      </c>
      <c r="D63" s="327">
        <f t="shared" si="88"/>
        <v>17</v>
      </c>
      <c r="E63" s="327">
        <f t="shared" si="88"/>
        <v>18</v>
      </c>
      <c r="F63" s="327">
        <f t="shared" si="88"/>
        <v>19</v>
      </c>
      <c r="G63" s="327">
        <f t="shared" si="88"/>
        <v>20</v>
      </c>
      <c r="H63" s="328">
        <f t="shared" si="88"/>
        <v>21</v>
      </c>
      <c r="I63" s="329">
        <f t="shared" si="88"/>
        <v>22</v>
      </c>
      <c r="J63" s="330"/>
      <c r="K63" s="331"/>
      <c r="L63" s="332"/>
      <c r="M63" s="332"/>
      <c r="N63" s="333"/>
    </row>
    <row r="64" spans="1:88" x14ac:dyDescent="0.4">
      <c r="B64" s="334"/>
      <c r="C64" s="327">
        <f t="shared" si="87"/>
        <v>23</v>
      </c>
      <c r="D64" s="327">
        <f t="shared" si="88"/>
        <v>24</v>
      </c>
      <c r="E64" s="327">
        <f t="shared" si="88"/>
        <v>25</v>
      </c>
      <c r="F64" s="327">
        <f t="shared" si="88"/>
        <v>26</v>
      </c>
      <c r="G64" s="327">
        <f t="shared" si="88"/>
        <v>27</v>
      </c>
      <c r="H64" s="328">
        <f t="shared" si="88"/>
        <v>28</v>
      </c>
      <c r="I64" s="329">
        <f t="shared" si="88"/>
        <v>29</v>
      </c>
      <c r="J64" s="330"/>
      <c r="K64" s="331"/>
      <c r="L64" s="332"/>
      <c r="M64" s="332"/>
      <c r="N64" s="333"/>
    </row>
    <row r="65" spans="2:14" x14ac:dyDescent="0.4">
      <c r="B65" s="335" t="s">
        <v>158</v>
      </c>
      <c r="C65" s="327">
        <f t="shared" si="87"/>
        <v>30</v>
      </c>
      <c r="D65" s="327">
        <f t="shared" si="88"/>
        <v>31</v>
      </c>
      <c r="E65" s="327">
        <v>1</v>
      </c>
      <c r="F65" s="327">
        <f t="shared" si="88"/>
        <v>2</v>
      </c>
      <c r="G65" s="327">
        <f t="shared" si="88"/>
        <v>3</v>
      </c>
      <c r="H65" s="328">
        <f t="shared" si="88"/>
        <v>4</v>
      </c>
      <c r="I65" s="329">
        <f t="shared" si="88"/>
        <v>5</v>
      </c>
      <c r="J65" s="330"/>
      <c r="K65" s="331">
        <v>20</v>
      </c>
      <c r="L65" s="332">
        <v>160</v>
      </c>
      <c r="M65" s="332"/>
      <c r="N65" s="333"/>
    </row>
    <row r="66" spans="2:14" x14ac:dyDescent="0.4">
      <c r="B66" s="326"/>
      <c r="C66" s="327">
        <f t="shared" si="87"/>
        <v>6</v>
      </c>
      <c r="D66" s="327">
        <f t="shared" si="88"/>
        <v>7</v>
      </c>
      <c r="E66" s="327">
        <f>D66+1</f>
        <v>8</v>
      </c>
      <c r="F66" s="327">
        <f t="shared" si="88"/>
        <v>9</v>
      </c>
      <c r="G66" s="327">
        <f t="shared" si="88"/>
        <v>10</v>
      </c>
      <c r="H66" s="328">
        <f t="shared" si="88"/>
        <v>11</v>
      </c>
      <c r="I66" s="329">
        <f t="shared" si="88"/>
        <v>12</v>
      </c>
      <c r="J66" s="330"/>
      <c r="K66" s="331"/>
      <c r="L66" s="332"/>
      <c r="M66" s="332"/>
      <c r="N66" s="333"/>
    </row>
    <row r="67" spans="2:14" x14ac:dyDescent="0.4">
      <c r="B67" s="326"/>
      <c r="C67" s="327">
        <f t="shared" si="87"/>
        <v>13</v>
      </c>
      <c r="D67" s="327">
        <f t="shared" si="88"/>
        <v>14</v>
      </c>
      <c r="E67" s="327">
        <f>D67+1</f>
        <v>15</v>
      </c>
      <c r="F67" s="327">
        <f t="shared" si="88"/>
        <v>16</v>
      </c>
      <c r="G67" s="327">
        <f t="shared" si="88"/>
        <v>17</v>
      </c>
      <c r="H67" s="328">
        <f t="shared" si="88"/>
        <v>18</v>
      </c>
      <c r="I67" s="329">
        <f t="shared" si="88"/>
        <v>19</v>
      </c>
      <c r="J67" s="330"/>
      <c r="K67" s="331"/>
      <c r="L67" s="332"/>
      <c r="M67" s="332"/>
      <c r="N67" s="333"/>
    </row>
    <row r="68" spans="2:14" x14ac:dyDescent="0.4">
      <c r="B68" s="326"/>
      <c r="C68" s="327">
        <f t="shared" si="87"/>
        <v>20</v>
      </c>
      <c r="D68" s="327">
        <f t="shared" si="88"/>
        <v>21</v>
      </c>
      <c r="E68" s="327">
        <f>D68+1</f>
        <v>22</v>
      </c>
      <c r="F68" s="327">
        <f t="shared" si="88"/>
        <v>23</v>
      </c>
      <c r="G68" s="327">
        <f t="shared" si="88"/>
        <v>24</v>
      </c>
      <c r="H68" s="328">
        <f t="shared" si="88"/>
        <v>25</v>
      </c>
      <c r="I68" s="329">
        <f t="shared" si="88"/>
        <v>26</v>
      </c>
      <c r="J68" s="330"/>
      <c r="K68" s="331"/>
      <c r="L68" s="332"/>
      <c r="M68" s="332"/>
      <c r="N68" s="317"/>
    </row>
    <row r="69" spans="2:14" x14ac:dyDescent="0.4">
      <c r="B69" s="335" t="s">
        <v>159</v>
      </c>
      <c r="C69" s="327">
        <f t="shared" si="87"/>
        <v>27</v>
      </c>
      <c r="D69" s="327">
        <f t="shared" si="88"/>
        <v>28</v>
      </c>
      <c r="E69" s="327">
        <v>1</v>
      </c>
      <c r="F69" s="327">
        <f t="shared" si="88"/>
        <v>2</v>
      </c>
      <c r="G69" s="327">
        <f t="shared" si="88"/>
        <v>3</v>
      </c>
      <c r="H69" s="328">
        <f t="shared" si="88"/>
        <v>4</v>
      </c>
      <c r="I69" s="329">
        <f t="shared" si="88"/>
        <v>5</v>
      </c>
      <c r="J69" s="330"/>
      <c r="K69" s="331">
        <v>23</v>
      </c>
      <c r="L69" s="332">
        <v>184</v>
      </c>
      <c r="M69" s="332"/>
      <c r="N69" s="333"/>
    </row>
    <row r="70" spans="2:14" x14ac:dyDescent="0.4">
      <c r="B70" s="326"/>
      <c r="C70" s="327">
        <f t="shared" si="87"/>
        <v>6</v>
      </c>
      <c r="D70" s="327">
        <f t="shared" si="88"/>
        <v>7</v>
      </c>
      <c r="E70" s="327">
        <f t="shared" si="88"/>
        <v>8</v>
      </c>
      <c r="F70" s="327">
        <f t="shared" si="88"/>
        <v>9</v>
      </c>
      <c r="G70" s="327">
        <f t="shared" si="88"/>
        <v>10</v>
      </c>
      <c r="H70" s="328">
        <f t="shared" si="88"/>
        <v>11</v>
      </c>
      <c r="I70" s="329">
        <f t="shared" si="88"/>
        <v>12</v>
      </c>
      <c r="J70" s="330"/>
      <c r="K70" s="331"/>
      <c r="L70" s="332"/>
      <c r="M70" s="332"/>
      <c r="N70" s="333"/>
    </row>
    <row r="71" spans="2:14" x14ac:dyDescent="0.4">
      <c r="B71" s="326"/>
      <c r="C71" s="327">
        <f t="shared" si="87"/>
        <v>13</v>
      </c>
      <c r="D71" s="327">
        <f t="shared" si="88"/>
        <v>14</v>
      </c>
      <c r="E71" s="327">
        <f t="shared" si="88"/>
        <v>15</v>
      </c>
      <c r="F71" s="327">
        <f t="shared" si="88"/>
        <v>16</v>
      </c>
      <c r="G71" s="327">
        <f t="shared" si="88"/>
        <v>17</v>
      </c>
      <c r="H71" s="328">
        <f t="shared" si="88"/>
        <v>18</v>
      </c>
      <c r="I71" s="329">
        <f t="shared" si="88"/>
        <v>19</v>
      </c>
      <c r="J71" s="330"/>
      <c r="K71" s="331"/>
      <c r="L71" s="332"/>
      <c r="M71" s="332"/>
      <c r="N71" s="333"/>
    </row>
    <row r="72" spans="2:14" x14ac:dyDescent="0.4">
      <c r="B72" s="326"/>
      <c r="C72" s="327">
        <f t="shared" si="87"/>
        <v>20</v>
      </c>
      <c r="D72" s="327">
        <f t="shared" si="88"/>
        <v>21</v>
      </c>
      <c r="E72" s="327">
        <f t="shared" si="88"/>
        <v>22</v>
      </c>
      <c r="F72" s="327">
        <f t="shared" si="88"/>
        <v>23</v>
      </c>
      <c r="G72" s="327">
        <f t="shared" si="88"/>
        <v>24</v>
      </c>
      <c r="H72" s="328">
        <f t="shared" si="88"/>
        <v>25</v>
      </c>
      <c r="I72" s="329">
        <f t="shared" si="88"/>
        <v>26</v>
      </c>
      <c r="J72" s="330"/>
      <c r="K72" s="331"/>
      <c r="L72" s="332"/>
      <c r="M72" s="332"/>
      <c r="N72" s="333"/>
    </row>
    <row r="73" spans="2:14" x14ac:dyDescent="0.4">
      <c r="B73" s="335" t="s">
        <v>160</v>
      </c>
      <c r="C73" s="327">
        <f t="shared" si="87"/>
        <v>27</v>
      </c>
      <c r="D73" s="327">
        <f t="shared" si="88"/>
        <v>28</v>
      </c>
      <c r="E73" s="327">
        <f t="shared" si="88"/>
        <v>29</v>
      </c>
      <c r="F73" s="327">
        <f t="shared" si="88"/>
        <v>30</v>
      </c>
      <c r="G73" s="327">
        <f t="shared" si="88"/>
        <v>31</v>
      </c>
      <c r="H73" s="328">
        <v>1</v>
      </c>
      <c r="I73" s="329">
        <f t="shared" si="88"/>
        <v>2</v>
      </c>
      <c r="J73" s="330"/>
      <c r="K73" s="331"/>
      <c r="L73" s="332"/>
      <c r="M73" s="332"/>
      <c r="N73" s="333"/>
    </row>
    <row r="74" spans="2:14" x14ac:dyDescent="0.4">
      <c r="B74" s="334"/>
      <c r="C74" s="327">
        <f t="shared" si="87"/>
        <v>3</v>
      </c>
      <c r="D74" s="327">
        <f t="shared" si="88"/>
        <v>4</v>
      </c>
      <c r="E74" s="327">
        <f t="shared" si="88"/>
        <v>5</v>
      </c>
      <c r="F74" s="327">
        <f t="shared" si="88"/>
        <v>6</v>
      </c>
      <c r="G74" s="336">
        <f t="shared" si="88"/>
        <v>7</v>
      </c>
      <c r="H74" s="328">
        <f t="shared" si="88"/>
        <v>8</v>
      </c>
      <c r="I74" s="336">
        <f t="shared" si="88"/>
        <v>9</v>
      </c>
      <c r="J74" s="330"/>
      <c r="K74" s="331">
        <v>18</v>
      </c>
      <c r="L74" s="332">
        <v>143</v>
      </c>
      <c r="M74" s="337">
        <v>3</v>
      </c>
      <c r="N74" s="333"/>
    </row>
    <row r="75" spans="2:14" x14ac:dyDescent="0.4">
      <c r="B75" s="326"/>
      <c r="C75" s="336">
        <f t="shared" si="87"/>
        <v>10</v>
      </c>
      <c r="D75" s="327">
        <f t="shared" si="88"/>
        <v>11</v>
      </c>
      <c r="E75" s="327">
        <f t="shared" si="88"/>
        <v>12</v>
      </c>
      <c r="F75" s="327">
        <f t="shared" si="88"/>
        <v>13</v>
      </c>
      <c r="G75" s="327">
        <f t="shared" si="88"/>
        <v>14</v>
      </c>
      <c r="H75" s="328">
        <f t="shared" si="88"/>
        <v>15</v>
      </c>
      <c r="I75" s="329">
        <f t="shared" si="88"/>
        <v>16</v>
      </c>
      <c r="J75" s="330"/>
      <c r="K75" s="331"/>
      <c r="L75" s="332"/>
      <c r="M75" s="332"/>
      <c r="N75" s="333"/>
    </row>
    <row r="76" spans="2:14" x14ac:dyDescent="0.4">
      <c r="B76" s="326"/>
      <c r="C76" s="327">
        <f t="shared" si="87"/>
        <v>17</v>
      </c>
      <c r="D76" s="327">
        <f t="shared" si="88"/>
        <v>18</v>
      </c>
      <c r="E76" s="327">
        <f t="shared" si="88"/>
        <v>19</v>
      </c>
      <c r="F76" s="327">
        <f t="shared" si="88"/>
        <v>20</v>
      </c>
      <c r="G76" s="327">
        <f t="shared" si="88"/>
        <v>21</v>
      </c>
      <c r="H76" s="328">
        <f t="shared" si="88"/>
        <v>22</v>
      </c>
      <c r="I76" s="329">
        <f t="shared" si="88"/>
        <v>23</v>
      </c>
      <c r="J76" s="330"/>
      <c r="K76" s="331"/>
      <c r="L76" s="332"/>
      <c r="M76" s="332"/>
      <c r="N76" s="333"/>
    </row>
    <row r="77" spans="2:14" x14ac:dyDescent="0.4">
      <c r="B77" s="326"/>
      <c r="C77" s="327">
        <f t="shared" si="87"/>
        <v>24</v>
      </c>
      <c r="D77" s="327">
        <f t="shared" ref="D77:I92" si="89">C77+1</f>
        <v>25</v>
      </c>
      <c r="E77" s="327">
        <f t="shared" si="89"/>
        <v>26</v>
      </c>
      <c r="F77" s="327">
        <f t="shared" si="89"/>
        <v>27</v>
      </c>
      <c r="G77" s="327">
        <f t="shared" si="89"/>
        <v>28</v>
      </c>
      <c r="H77" s="328">
        <f t="shared" si="89"/>
        <v>29</v>
      </c>
      <c r="I77" s="329">
        <f t="shared" si="89"/>
        <v>30</v>
      </c>
      <c r="J77" s="330"/>
      <c r="K77" s="331"/>
      <c r="L77" s="332"/>
      <c r="M77" s="332"/>
      <c r="N77" s="333"/>
    </row>
    <row r="78" spans="2:14" x14ac:dyDescent="0.4">
      <c r="B78" s="335" t="s">
        <v>161</v>
      </c>
      <c r="C78" s="336">
        <v>1</v>
      </c>
      <c r="D78" s="327">
        <f t="shared" si="89"/>
        <v>2</v>
      </c>
      <c r="E78" s="327">
        <f t="shared" si="89"/>
        <v>3</v>
      </c>
      <c r="F78" s="336">
        <f t="shared" si="89"/>
        <v>4</v>
      </c>
      <c r="G78" s="338">
        <f t="shared" si="89"/>
        <v>5</v>
      </c>
      <c r="H78" s="339">
        <f t="shared" si="89"/>
        <v>6</v>
      </c>
      <c r="I78" s="329">
        <f t="shared" si="89"/>
        <v>7</v>
      </c>
      <c r="J78" s="330"/>
      <c r="K78" s="331">
        <v>21</v>
      </c>
      <c r="L78" s="332">
        <v>167</v>
      </c>
      <c r="M78" s="337">
        <v>4</v>
      </c>
      <c r="N78" s="340">
        <v>1</v>
      </c>
    </row>
    <row r="79" spans="2:14" x14ac:dyDescent="0.4">
      <c r="B79" s="326"/>
      <c r="C79" s="327">
        <f t="shared" ref="C79:C112" si="90">I78+1</f>
        <v>8</v>
      </c>
      <c r="D79" s="327">
        <f t="shared" si="89"/>
        <v>9</v>
      </c>
      <c r="E79" s="327">
        <f t="shared" si="89"/>
        <v>10</v>
      </c>
      <c r="F79" s="327">
        <f t="shared" si="89"/>
        <v>11</v>
      </c>
      <c r="G79" s="327">
        <f t="shared" si="89"/>
        <v>12</v>
      </c>
      <c r="H79" s="328">
        <f t="shared" si="89"/>
        <v>13</v>
      </c>
      <c r="I79" s="336">
        <f t="shared" si="89"/>
        <v>14</v>
      </c>
      <c r="J79" s="330"/>
      <c r="K79" s="331"/>
      <c r="L79" s="332"/>
      <c r="M79" s="332"/>
      <c r="N79" s="333"/>
    </row>
    <row r="80" spans="2:14" x14ac:dyDescent="0.4">
      <c r="B80" s="326"/>
      <c r="C80" s="327">
        <f t="shared" si="90"/>
        <v>15</v>
      </c>
      <c r="D80" s="327">
        <f t="shared" si="89"/>
        <v>16</v>
      </c>
      <c r="E80" s="327">
        <f t="shared" si="89"/>
        <v>17</v>
      </c>
      <c r="F80" s="327">
        <f t="shared" si="89"/>
        <v>18</v>
      </c>
      <c r="G80" s="327">
        <f t="shared" si="89"/>
        <v>19</v>
      </c>
      <c r="H80" s="338">
        <f t="shared" si="89"/>
        <v>20</v>
      </c>
      <c r="I80" s="329">
        <f t="shared" si="89"/>
        <v>21</v>
      </c>
      <c r="J80" s="330"/>
      <c r="K80" s="331"/>
      <c r="L80" s="332"/>
      <c r="M80" s="332"/>
      <c r="N80" s="333"/>
    </row>
    <row r="81" spans="2:14" x14ac:dyDescent="0.4">
      <c r="B81" s="326"/>
      <c r="C81" s="327">
        <f t="shared" si="90"/>
        <v>22</v>
      </c>
      <c r="D81" s="327">
        <f t="shared" si="89"/>
        <v>23</v>
      </c>
      <c r="E81" s="327">
        <f t="shared" si="89"/>
        <v>24</v>
      </c>
      <c r="F81" s="327">
        <f t="shared" si="89"/>
        <v>25</v>
      </c>
      <c r="G81" s="327">
        <f t="shared" si="89"/>
        <v>26</v>
      </c>
      <c r="H81" s="328">
        <f t="shared" si="89"/>
        <v>27</v>
      </c>
      <c r="I81" s="336">
        <f t="shared" si="89"/>
        <v>28</v>
      </c>
      <c r="J81" s="330"/>
      <c r="K81" s="331"/>
      <c r="L81" s="332"/>
      <c r="M81" s="332"/>
      <c r="N81" s="333"/>
    </row>
    <row r="82" spans="2:14" x14ac:dyDescent="0.4">
      <c r="B82" s="335" t="s">
        <v>162</v>
      </c>
      <c r="C82" s="327">
        <f t="shared" si="90"/>
        <v>29</v>
      </c>
      <c r="D82" s="327">
        <f t="shared" si="89"/>
        <v>30</v>
      </c>
      <c r="E82" s="327">
        <f t="shared" si="89"/>
        <v>31</v>
      </c>
      <c r="F82" s="327">
        <v>1</v>
      </c>
      <c r="G82" s="327">
        <f t="shared" si="89"/>
        <v>2</v>
      </c>
      <c r="H82" s="328">
        <f t="shared" si="89"/>
        <v>3</v>
      </c>
      <c r="I82" s="329">
        <f t="shared" si="89"/>
        <v>4</v>
      </c>
      <c r="J82" s="330"/>
      <c r="K82" s="331">
        <v>21</v>
      </c>
      <c r="L82" s="332">
        <v>167</v>
      </c>
      <c r="M82" s="337">
        <v>2</v>
      </c>
      <c r="N82" s="333"/>
    </row>
    <row r="83" spans="2:14" x14ac:dyDescent="0.4">
      <c r="B83" s="326"/>
      <c r="C83" s="327">
        <f t="shared" si="90"/>
        <v>5</v>
      </c>
      <c r="D83" s="327">
        <f t="shared" si="89"/>
        <v>6</v>
      </c>
      <c r="E83" s="327">
        <f t="shared" si="89"/>
        <v>7</v>
      </c>
      <c r="F83" s="327">
        <f t="shared" si="89"/>
        <v>8</v>
      </c>
      <c r="G83" s="327">
        <f t="shared" si="89"/>
        <v>9</v>
      </c>
      <c r="H83" s="328">
        <f t="shared" si="89"/>
        <v>10</v>
      </c>
      <c r="I83" s="329">
        <f t="shared" si="89"/>
        <v>11</v>
      </c>
      <c r="J83" s="330"/>
      <c r="K83" s="331"/>
      <c r="L83" s="332"/>
      <c r="M83" s="332"/>
      <c r="N83" s="333"/>
    </row>
    <row r="84" spans="2:14" x14ac:dyDescent="0.4">
      <c r="B84" s="326"/>
      <c r="C84" s="327">
        <f t="shared" si="90"/>
        <v>12</v>
      </c>
      <c r="D84" s="327">
        <f t="shared" si="89"/>
        <v>13</v>
      </c>
      <c r="E84" s="327">
        <f t="shared" si="89"/>
        <v>14</v>
      </c>
      <c r="F84" s="327">
        <f t="shared" si="89"/>
        <v>15</v>
      </c>
      <c r="G84" s="327">
        <f t="shared" si="89"/>
        <v>16</v>
      </c>
      <c r="H84" s="328">
        <f t="shared" si="89"/>
        <v>17</v>
      </c>
      <c r="I84" s="329">
        <f t="shared" si="89"/>
        <v>18</v>
      </c>
      <c r="J84" s="330"/>
      <c r="K84" s="331"/>
      <c r="L84" s="332"/>
      <c r="M84" s="332"/>
      <c r="N84" s="333"/>
    </row>
    <row r="85" spans="2:14" x14ac:dyDescent="0.4">
      <c r="B85" s="326"/>
      <c r="C85" s="327">
        <f t="shared" si="90"/>
        <v>19</v>
      </c>
      <c r="D85" s="327">
        <f t="shared" si="89"/>
        <v>20</v>
      </c>
      <c r="E85" s="327">
        <f t="shared" si="89"/>
        <v>21</v>
      </c>
      <c r="F85" s="327">
        <f t="shared" si="89"/>
        <v>22</v>
      </c>
      <c r="G85" s="336">
        <f t="shared" si="89"/>
        <v>23</v>
      </c>
      <c r="H85" s="336">
        <f t="shared" si="89"/>
        <v>24</v>
      </c>
      <c r="I85" s="329">
        <f t="shared" si="89"/>
        <v>25</v>
      </c>
      <c r="J85" s="330"/>
      <c r="K85" s="331"/>
      <c r="L85" s="332"/>
      <c r="M85" s="332"/>
      <c r="N85" s="333"/>
    </row>
    <row r="86" spans="2:14" x14ac:dyDescent="0.4">
      <c r="B86" s="335" t="s">
        <v>163</v>
      </c>
      <c r="C86" s="327">
        <f t="shared" si="90"/>
        <v>26</v>
      </c>
      <c r="D86" s="327">
        <f t="shared" si="89"/>
        <v>27</v>
      </c>
      <c r="E86" s="327">
        <f t="shared" si="89"/>
        <v>28</v>
      </c>
      <c r="F86" s="327">
        <f t="shared" si="89"/>
        <v>29</v>
      </c>
      <c r="G86" s="327">
        <f t="shared" si="89"/>
        <v>30</v>
      </c>
      <c r="H86" s="328">
        <v>1</v>
      </c>
      <c r="I86" s="329">
        <f t="shared" si="89"/>
        <v>2</v>
      </c>
      <c r="J86" s="330"/>
      <c r="K86" s="331">
        <v>20</v>
      </c>
      <c r="L86" s="332">
        <v>160</v>
      </c>
      <c r="M86" s="337">
        <v>2</v>
      </c>
      <c r="N86" s="333"/>
    </row>
    <row r="87" spans="2:14" x14ac:dyDescent="0.4">
      <c r="B87" s="334"/>
      <c r="C87" s="327">
        <f t="shared" si="90"/>
        <v>3</v>
      </c>
      <c r="D87" s="327">
        <f t="shared" si="89"/>
        <v>4</v>
      </c>
      <c r="E87" s="327">
        <f t="shared" si="89"/>
        <v>5</v>
      </c>
      <c r="F87" s="327">
        <f t="shared" si="89"/>
        <v>6</v>
      </c>
      <c r="G87" s="327">
        <f t="shared" si="89"/>
        <v>7</v>
      </c>
      <c r="H87" s="328">
        <f t="shared" si="89"/>
        <v>8</v>
      </c>
      <c r="I87" s="336">
        <f t="shared" si="89"/>
        <v>9</v>
      </c>
      <c r="J87" s="330"/>
      <c r="K87" s="331"/>
      <c r="L87" s="332"/>
      <c r="M87" s="332"/>
      <c r="N87" s="333"/>
    </row>
    <row r="88" spans="2:14" x14ac:dyDescent="0.4">
      <c r="B88" s="326"/>
      <c r="C88" s="336">
        <f t="shared" si="90"/>
        <v>10</v>
      </c>
      <c r="D88" s="327">
        <f t="shared" si="89"/>
        <v>11</v>
      </c>
      <c r="E88" s="327">
        <f t="shared" si="89"/>
        <v>12</v>
      </c>
      <c r="F88" s="327">
        <f t="shared" si="89"/>
        <v>13</v>
      </c>
      <c r="G88" s="327">
        <f t="shared" si="89"/>
        <v>14</v>
      </c>
      <c r="H88" s="328">
        <f t="shared" si="89"/>
        <v>15</v>
      </c>
      <c r="I88" s="329">
        <f t="shared" si="89"/>
        <v>16</v>
      </c>
      <c r="J88" s="330"/>
      <c r="K88" s="331"/>
      <c r="L88" s="332"/>
      <c r="M88" s="332"/>
      <c r="N88" s="333"/>
    </row>
    <row r="89" spans="2:14" x14ac:dyDescent="0.4">
      <c r="B89" s="326"/>
      <c r="C89" s="327">
        <f t="shared" si="90"/>
        <v>17</v>
      </c>
      <c r="D89" s="327">
        <f t="shared" si="89"/>
        <v>18</v>
      </c>
      <c r="E89" s="327">
        <f t="shared" si="89"/>
        <v>19</v>
      </c>
      <c r="F89" s="327">
        <f t="shared" si="89"/>
        <v>20</v>
      </c>
      <c r="G89" s="327">
        <f t="shared" si="89"/>
        <v>21</v>
      </c>
      <c r="H89" s="328">
        <f t="shared" si="89"/>
        <v>22</v>
      </c>
      <c r="I89" s="329">
        <f t="shared" si="89"/>
        <v>23</v>
      </c>
      <c r="J89" s="330"/>
      <c r="K89" s="331"/>
      <c r="L89" s="332"/>
      <c r="M89" s="332"/>
      <c r="N89" s="333"/>
    </row>
    <row r="90" spans="2:14" x14ac:dyDescent="0.4">
      <c r="B90" s="326"/>
      <c r="C90" s="327">
        <f t="shared" si="90"/>
        <v>24</v>
      </c>
      <c r="D90" s="327">
        <f t="shared" si="89"/>
        <v>25</v>
      </c>
      <c r="E90" s="327">
        <f t="shared" si="89"/>
        <v>26</v>
      </c>
      <c r="F90" s="327">
        <f t="shared" si="89"/>
        <v>27</v>
      </c>
      <c r="G90" s="327">
        <f t="shared" si="89"/>
        <v>28</v>
      </c>
      <c r="H90" s="328">
        <f t="shared" si="89"/>
        <v>29</v>
      </c>
      <c r="I90" s="329">
        <f t="shared" si="89"/>
        <v>30</v>
      </c>
      <c r="J90" s="330"/>
      <c r="K90" s="331"/>
      <c r="L90" s="332"/>
      <c r="M90" s="332"/>
      <c r="N90" s="333"/>
    </row>
    <row r="91" spans="2:14" x14ac:dyDescent="0.4">
      <c r="B91" s="335" t="s">
        <v>164</v>
      </c>
      <c r="C91" s="327">
        <f t="shared" si="90"/>
        <v>31</v>
      </c>
      <c r="D91" s="327">
        <v>1</v>
      </c>
      <c r="E91" s="327">
        <f t="shared" si="89"/>
        <v>2</v>
      </c>
      <c r="F91" s="327">
        <f t="shared" si="89"/>
        <v>3</v>
      </c>
      <c r="G91" s="327">
        <f t="shared" si="89"/>
        <v>4</v>
      </c>
      <c r="H91" s="328">
        <f t="shared" si="89"/>
        <v>5</v>
      </c>
      <c r="I91" s="329">
        <f t="shared" si="89"/>
        <v>6</v>
      </c>
      <c r="J91" s="330"/>
      <c r="K91" s="331">
        <v>23</v>
      </c>
      <c r="L91" s="332">
        <v>184</v>
      </c>
      <c r="M91" s="332"/>
      <c r="N91" s="333"/>
    </row>
    <row r="92" spans="2:14" x14ac:dyDescent="0.4">
      <c r="B92" s="326"/>
      <c r="C92" s="327">
        <f t="shared" si="90"/>
        <v>7</v>
      </c>
      <c r="D92" s="327">
        <f t="shared" ref="D92:I107" si="91">C92+1</f>
        <v>8</v>
      </c>
      <c r="E92" s="327">
        <f t="shared" si="89"/>
        <v>9</v>
      </c>
      <c r="F92" s="327">
        <f t="shared" si="89"/>
        <v>10</v>
      </c>
      <c r="G92" s="327">
        <f t="shared" si="89"/>
        <v>11</v>
      </c>
      <c r="H92" s="328">
        <f t="shared" si="89"/>
        <v>12</v>
      </c>
      <c r="I92" s="329">
        <f t="shared" si="89"/>
        <v>13</v>
      </c>
      <c r="J92" s="330"/>
      <c r="K92" s="331"/>
      <c r="L92" s="332"/>
      <c r="M92" s="332"/>
      <c r="N92" s="333"/>
    </row>
    <row r="93" spans="2:14" x14ac:dyDescent="0.4">
      <c r="B93" s="326"/>
      <c r="C93" s="327">
        <f t="shared" si="90"/>
        <v>14</v>
      </c>
      <c r="D93" s="327">
        <f t="shared" si="91"/>
        <v>15</v>
      </c>
      <c r="E93" s="327">
        <f t="shared" si="91"/>
        <v>16</v>
      </c>
      <c r="F93" s="327">
        <f t="shared" si="91"/>
        <v>17</v>
      </c>
      <c r="G93" s="327">
        <f t="shared" si="91"/>
        <v>18</v>
      </c>
      <c r="H93" s="328">
        <f t="shared" si="91"/>
        <v>19</v>
      </c>
      <c r="I93" s="329">
        <f t="shared" si="91"/>
        <v>20</v>
      </c>
      <c r="J93" s="330"/>
      <c r="K93" s="331"/>
      <c r="L93" s="332"/>
      <c r="M93" s="332"/>
      <c r="N93" s="333"/>
    </row>
    <row r="94" spans="2:14" x14ac:dyDescent="0.4">
      <c r="B94" s="326"/>
      <c r="C94" s="327">
        <f t="shared" si="90"/>
        <v>21</v>
      </c>
      <c r="D94" s="327">
        <f t="shared" si="91"/>
        <v>22</v>
      </c>
      <c r="E94" s="327">
        <f t="shared" si="91"/>
        <v>23</v>
      </c>
      <c r="F94" s="327">
        <f t="shared" si="91"/>
        <v>24</v>
      </c>
      <c r="G94" s="327">
        <f t="shared" si="91"/>
        <v>25</v>
      </c>
      <c r="H94" s="328">
        <f t="shared" si="91"/>
        <v>26</v>
      </c>
      <c r="I94" s="329">
        <f t="shared" si="91"/>
        <v>27</v>
      </c>
      <c r="J94" s="330"/>
      <c r="K94" s="331"/>
      <c r="L94" s="332"/>
      <c r="M94" s="332"/>
      <c r="N94" s="333"/>
    </row>
    <row r="95" spans="2:14" x14ac:dyDescent="0.4">
      <c r="B95" s="335" t="s">
        <v>165</v>
      </c>
      <c r="C95" s="327">
        <f t="shared" si="90"/>
        <v>28</v>
      </c>
      <c r="D95" s="327">
        <f t="shared" si="91"/>
        <v>29</v>
      </c>
      <c r="E95" s="327">
        <f t="shared" si="91"/>
        <v>30</v>
      </c>
      <c r="F95" s="327">
        <f t="shared" si="91"/>
        <v>31</v>
      </c>
      <c r="G95" s="327">
        <v>1</v>
      </c>
      <c r="H95" s="328">
        <f t="shared" si="91"/>
        <v>2</v>
      </c>
      <c r="I95" s="329">
        <f t="shared" si="91"/>
        <v>3</v>
      </c>
      <c r="J95" s="330"/>
      <c r="K95" s="331">
        <v>21</v>
      </c>
      <c r="L95" s="332">
        <v>168</v>
      </c>
      <c r="M95" s="332"/>
      <c r="N95" s="333"/>
    </row>
    <row r="96" spans="2:14" x14ac:dyDescent="0.4">
      <c r="B96" s="326"/>
      <c r="C96" s="327">
        <f t="shared" si="90"/>
        <v>4</v>
      </c>
      <c r="D96" s="327">
        <f t="shared" si="91"/>
        <v>5</v>
      </c>
      <c r="E96" s="327">
        <f t="shared" si="91"/>
        <v>6</v>
      </c>
      <c r="F96" s="327">
        <f t="shared" si="91"/>
        <v>7</v>
      </c>
      <c r="G96" s="327">
        <f t="shared" si="91"/>
        <v>8</v>
      </c>
      <c r="H96" s="328">
        <f t="shared" si="91"/>
        <v>9</v>
      </c>
      <c r="I96" s="329">
        <f t="shared" si="91"/>
        <v>10</v>
      </c>
      <c r="J96" s="330"/>
      <c r="K96" s="331"/>
      <c r="L96" s="332"/>
      <c r="M96" s="332"/>
      <c r="N96" s="333"/>
    </row>
    <row r="97" spans="2:14" x14ac:dyDescent="0.4">
      <c r="B97" s="326"/>
      <c r="C97" s="327">
        <f t="shared" si="90"/>
        <v>11</v>
      </c>
      <c r="D97" s="327">
        <f t="shared" si="91"/>
        <v>12</v>
      </c>
      <c r="E97" s="327">
        <f t="shared" si="91"/>
        <v>13</v>
      </c>
      <c r="F97" s="327">
        <f t="shared" si="91"/>
        <v>14</v>
      </c>
      <c r="G97" s="327">
        <f t="shared" si="91"/>
        <v>15</v>
      </c>
      <c r="H97" s="328">
        <f t="shared" si="91"/>
        <v>16</v>
      </c>
      <c r="I97" s="329">
        <f t="shared" si="91"/>
        <v>17</v>
      </c>
      <c r="J97" s="330"/>
      <c r="K97" s="331"/>
      <c r="L97" s="332"/>
      <c r="M97" s="332"/>
      <c r="N97" s="333"/>
    </row>
    <row r="98" spans="2:14" x14ac:dyDescent="0.4">
      <c r="B98" s="326"/>
      <c r="C98" s="327">
        <f t="shared" si="90"/>
        <v>18</v>
      </c>
      <c r="D98" s="327">
        <f t="shared" si="91"/>
        <v>19</v>
      </c>
      <c r="E98" s="327">
        <f t="shared" si="91"/>
        <v>20</v>
      </c>
      <c r="F98" s="327">
        <f t="shared" si="91"/>
        <v>21</v>
      </c>
      <c r="G98" s="327">
        <f t="shared" si="91"/>
        <v>22</v>
      </c>
      <c r="H98" s="328">
        <f t="shared" si="91"/>
        <v>23</v>
      </c>
      <c r="I98" s="329">
        <f t="shared" si="91"/>
        <v>24</v>
      </c>
      <c r="J98" s="330"/>
      <c r="K98" s="331"/>
      <c r="L98" s="332"/>
      <c r="M98" s="332"/>
      <c r="N98" s="333"/>
    </row>
    <row r="99" spans="2:14" x14ac:dyDescent="0.4">
      <c r="B99" s="335" t="s">
        <v>166</v>
      </c>
      <c r="C99" s="327">
        <f t="shared" si="90"/>
        <v>25</v>
      </c>
      <c r="D99" s="327">
        <f t="shared" si="91"/>
        <v>26</v>
      </c>
      <c r="E99" s="327">
        <f t="shared" si="91"/>
        <v>27</v>
      </c>
      <c r="F99" s="327">
        <f t="shared" si="91"/>
        <v>28</v>
      </c>
      <c r="G99" s="327">
        <f t="shared" si="91"/>
        <v>29</v>
      </c>
      <c r="H99" s="328">
        <f t="shared" si="91"/>
        <v>30</v>
      </c>
      <c r="I99" s="329">
        <v>1</v>
      </c>
      <c r="J99" s="330"/>
      <c r="K99" s="331">
        <v>22</v>
      </c>
      <c r="L99" s="332">
        <v>176</v>
      </c>
      <c r="M99" s="332"/>
      <c r="N99" s="333"/>
    </row>
    <row r="100" spans="2:14" x14ac:dyDescent="0.4">
      <c r="B100" s="334"/>
      <c r="C100" s="327">
        <f t="shared" si="90"/>
        <v>2</v>
      </c>
      <c r="D100" s="327">
        <f t="shared" si="91"/>
        <v>3</v>
      </c>
      <c r="E100" s="327">
        <f t="shared" si="91"/>
        <v>4</v>
      </c>
      <c r="F100" s="327">
        <f t="shared" si="91"/>
        <v>5</v>
      </c>
      <c r="G100" s="327">
        <f t="shared" si="91"/>
        <v>6</v>
      </c>
      <c r="H100" s="328">
        <f t="shared" si="91"/>
        <v>7</v>
      </c>
      <c r="I100" s="329">
        <f t="shared" si="91"/>
        <v>8</v>
      </c>
      <c r="J100" s="330"/>
      <c r="K100" s="331"/>
      <c r="L100" s="332"/>
      <c r="M100" s="332"/>
      <c r="N100" s="333"/>
    </row>
    <row r="101" spans="2:14" x14ac:dyDescent="0.4">
      <c r="B101" s="326"/>
      <c r="C101" s="327">
        <f t="shared" si="90"/>
        <v>9</v>
      </c>
      <c r="D101" s="327">
        <f t="shared" si="91"/>
        <v>10</v>
      </c>
      <c r="E101" s="327">
        <f t="shared" si="91"/>
        <v>11</v>
      </c>
      <c r="F101" s="327">
        <f t="shared" si="91"/>
        <v>12</v>
      </c>
      <c r="G101" s="327">
        <f t="shared" si="91"/>
        <v>13</v>
      </c>
      <c r="H101" s="328">
        <f t="shared" si="91"/>
        <v>14</v>
      </c>
      <c r="I101" s="329">
        <f t="shared" si="91"/>
        <v>15</v>
      </c>
      <c r="J101" s="330"/>
      <c r="K101" s="331"/>
      <c r="L101" s="332"/>
      <c r="M101" s="332"/>
      <c r="N101" s="333"/>
    </row>
    <row r="102" spans="2:14" x14ac:dyDescent="0.4">
      <c r="B102" s="326"/>
      <c r="C102" s="327">
        <f t="shared" si="90"/>
        <v>16</v>
      </c>
      <c r="D102" s="327">
        <f t="shared" si="91"/>
        <v>17</v>
      </c>
      <c r="E102" s="327">
        <f t="shared" si="91"/>
        <v>18</v>
      </c>
      <c r="F102" s="327">
        <f t="shared" si="91"/>
        <v>19</v>
      </c>
      <c r="G102" s="327">
        <f t="shared" si="91"/>
        <v>20</v>
      </c>
      <c r="H102" s="328">
        <f t="shared" si="91"/>
        <v>21</v>
      </c>
      <c r="I102" s="329">
        <f t="shared" si="91"/>
        <v>22</v>
      </c>
      <c r="J102" s="330"/>
      <c r="K102" s="331"/>
      <c r="L102" s="332"/>
      <c r="M102" s="332"/>
      <c r="N102" s="333"/>
    </row>
    <row r="103" spans="2:14" x14ac:dyDescent="0.4">
      <c r="B103" s="326"/>
      <c r="C103" s="327">
        <f t="shared" si="90"/>
        <v>23</v>
      </c>
      <c r="D103" s="327">
        <f t="shared" si="91"/>
        <v>24</v>
      </c>
      <c r="E103" s="327">
        <f t="shared" si="91"/>
        <v>25</v>
      </c>
      <c r="F103" s="327">
        <f t="shared" si="91"/>
        <v>26</v>
      </c>
      <c r="G103" s="327">
        <f t="shared" si="91"/>
        <v>27</v>
      </c>
      <c r="H103" s="328">
        <f t="shared" si="91"/>
        <v>28</v>
      </c>
      <c r="I103" s="329">
        <f t="shared" si="91"/>
        <v>29</v>
      </c>
      <c r="J103" s="330"/>
      <c r="K103" s="331"/>
      <c r="L103" s="332"/>
      <c r="M103" s="332"/>
      <c r="N103" s="333"/>
    </row>
    <row r="104" spans="2:14" x14ac:dyDescent="0.4">
      <c r="B104" s="335" t="s">
        <v>167</v>
      </c>
      <c r="C104" s="327">
        <f t="shared" si="90"/>
        <v>30</v>
      </c>
      <c r="D104" s="327">
        <f t="shared" si="91"/>
        <v>31</v>
      </c>
      <c r="E104" s="327">
        <v>1</v>
      </c>
      <c r="F104" s="327">
        <f t="shared" si="91"/>
        <v>2</v>
      </c>
      <c r="G104" s="327">
        <f t="shared" si="91"/>
        <v>3</v>
      </c>
      <c r="H104" s="328">
        <f t="shared" si="91"/>
        <v>4</v>
      </c>
      <c r="I104" s="329">
        <f t="shared" si="91"/>
        <v>5</v>
      </c>
      <c r="J104" s="330"/>
      <c r="K104" s="331">
        <v>21</v>
      </c>
      <c r="L104" s="332">
        <v>167</v>
      </c>
      <c r="M104" s="337">
        <v>2</v>
      </c>
      <c r="N104" s="333"/>
    </row>
    <row r="105" spans="2:14" x14ac:dyDescent="0.4">
      <c r="B105" s="326"/>
      <c r="C105" s="327">
        <f t="shared" si="90"/>
        <v>6</v>
      </c>
      <c r="D105" s="327">
        <f t="shared" si="91"/>
        <v>7</v>
      </c>
      <c r="E105" s="327">
        <f t="shared" si="91"/>
        <v>8</v>
      </c>
      <c r="F105" s="327">
        <f t="shared" si="91"/>
        <v>9</v>
      </c>
      <c r="G105" s="327">
        <f t="shared" si="91"/>
        <v>10</v>
      </c>
      <c r="H105" s="328">
        <f t="shared" si="91"/>
        <v>11</v>
      </c>
      <c r="I105" s="329">
        <f t="shared" si="91"/>
        <v>12</v>
      </c>
      <c r="J105" s="330"/>
      <c r="K105" s="331"/>
      <c r="L105" s="332"/>
      <c r="M105" s="332"/>
      <c r="N105" s="333"/>
    </row>
    <row r="106" spans="2:14" x14ac:dyDescent="0.4">
      <c r="B106" s="326"/>
      <c r="C106" s="327">
        <f t="shared" si="90"/>
        <v>13</v>
      </c>
      <c r="D106" s="327">
        <f t="shared" si="91"/>
        <v>14</v>
      </c>
      <c r="E106" s="327">
        <f t="shared" si="91"/>
        <v>15</v>
      </c>
      <c r="F106" s="327">
        <f t="shared" si="91"/>
        <v>16</v>
      </c>
      <c r="G106" s="327">
        <f t="shared" si="91"/>
        <v>17</v>
      </c>
      <c r="H106" s="336">
        <f t="shared" si="91"/>
        <v>18</v>
      </c>
      <c r="I106" s="329">
        <f t="shared" si="91"/>
        <v>19</v>
      </c>
      <c r="J106" s="330"/>
      <c r="K106" s="331"/>
      <c r="L106" s="332"/>
      <c r="M106" s="332"/>
      <c r="N106" s="333"/>
    </row>
    <row r="107" spans="2:14" x14ac:dyDescent="0.4">
      <c r="B107" s="326"/>
      <c r="C107" s="336">
        <f t="shared" si="90"/>
        <v>20</v>
      </c>
      <c r="D107" s="327">
        <f t="shared" si="91"/>
        <v>21</v>
      </c>
      <c r="E107" s="327">
        <f t="shared" si="91"/>
        <v>22</v>
      </c>
      <c r="F107" s="327">
        <f t="shared" si="91"/>
        <v>23</v>
      </c>
      <c r="G107" s="327">
        <f t="shared" si="91"/>
        <v>24</v>
      </c>
      <c r="H107" s="328">
        <f t="shared" si="91"/>
        <v>25</v>
      </c>
      <c r="I107" s="329">
        <f t="shared" si="91"/>
        <v>26</v>
      </c>
      <c r="J107" s="330"/>
      <c r="K107" s="331"/>
      <c r="L107" s="332"/>
      <c r="M107" s="332"/>
      <c r="N107" s="333"/>
    </row>
    <row r="108" spans="2:14" x14ac:dyDescent="0.4">
      <c r="B108" s="335" t="s">
        <v>168</v>
      </c>
      <c r="C108" s="327">
        <f t="shared" si="90"/>
        <v>27</v>
      </c>
      <c r="D108" s="327">
        <f t="shared" ref="D108:F112" si="92">C108+1</f>
        <v>28</v>
      </c>
      <c r="E108" s="327">
        <f t="shared" si="92"/>
        <v>29</v>
      </c>
      <c r="F108" s="327">
        <f t="shared" si="92"/>
        <v>30</v>
      </c>
      <c r="G108" s="327">
        <v>1</v>
      </c>
      <c r="H108" s="328">
        <f t="shared" ref="H108:I112" si="93">G108+1</f>
        <v>2</v>
      </c>
      <c r="I108" s="329">
        <f t="shared" si="93"/>
        <v>3</v>
      </c>
      <c r="J108" s="330"/>
      <c r="K108" s="331">
        <v>19</v>
      </c>
      <c r="L108" s="332">
        <v>152</v>
      </c>
      <c r="M108" s="337">
        <v>4</v>
      </c>
      <c r="N108" s="333"/>
    </row>
    <row r="109" spans="2:14" x14ac:dyDescent="0.4">
      <c r="B109" s="326"/>
      <c r="C109" s="327">
        <f t="shared" si="90"/>
        <v>4</v>
      </c>
      <c r="D109" s="327">
        <f t="shared" si="92"/>
        <v>5</v>
      </c>
      <c r="E109" s="327">
        <f t="shared" si="92"/>
        <v>6</v>
      </c>
      <c r="F109" s="327">
        <f t="shared" si="92"/>
        <v>7</v>
      </c>
      <c r="G109" s="327">
        <f>F109+1</f>
        <v>8</v>
      </c>
      <c r="H109" s="328">
        <f t="shared" si="93"/>
        <v>9</v>
      </c>
      <c r="I109" s="329">
        <f t="shared" si="93"/>
        <v>10</v>
      </c>
      <c r="J109" s="330"/>
      <c r="K109" s="331"/>
      <c r="L109" s="332"/>
      <c r="M109" s="332"/>
      <c r="N109" s="333"/>
    </row>
    <row r="110" spans="2:14" x14ac:dyDescent="0.4">
      <c r="B110" s="326"/>
      <c r="C110" s="327">
        <f t="shared" si="90"/>
        <v>11</v>
      </c>
      <c r="D110" s="327">
        <f t="shared" si="92"/>
        <v>12</v>
      </c>
      <c r="E110" s="327">
        <f t="shared" si="92"/>
        <v>13</v>
      </c>
      <c r="F110" s="327">
        <f t="shared" si="92"/>
        <v>14</v>
      </c>
      <c r="G110" s="327">
        <f>F110+1</f>
        <v>15</v>
      </c>
      <c r="H110" s="328">
        <f t="shared" si="93"/>
        <v>16</v>
      </c>
      <c r="I110" s="329">
        <f t="shared" si="93"/>
        <v>17</v>
      </c>
      <c r="J110" s="330"/>
      <c r="K110" s="331"/>
      <c r="L110" s="332"/>
      <c r="M110" s="332"/>
      <c r="N110" s="333"/>
    </row>
    <row r="111" spans="2:14" x14ac:dyDescent="0.4">
      <c r="B111" s="326"/>
      <c r="C111" s="327">
        <f t="shared" si="90"/>
        <v>18</v>
      </c>
      <c r="D111" s="327">
        <f t="shared" si="92"/>
        <v>19</v>
      </c>
      <c r="E111" s="327">
        <f t="shared" si="92"/>
        <v>20</v>
      </c>
      <c r="F111" s="327">
        <f t="shared" si="92"/>
        <v>21</v>
      </c>
      <c r="G111" s="327">
        <f>F111+1</f>
        <v>22</v>
      </c>
      <c r="H111" s="328">
        <f t="shared" si="93"/>
        <v>23</v>
      </c>
      <c r="I111" s="336">
        <f t="shared" si="93"/>
        <v>24</v>
      </c>
      <c r="J111" s="330"/>
      <c r="K111" s="331"/>
      <c r="L111" s="332"/>
      <c r="M111" s="332"/>
      <c r="N111" s="333"/>
    </row>
    <row r="112" spans="2:14" ht="18.5" thickBot="1" x14ac:dyDescent="0.45">
      <c r="B112" s="341"/>
      <c r="C112" s="336">
        <f t="shared" si="90"/>
        <v>25</v>
      </c>
      <c r="D112" s="336">
        <f t="shared" si="92"/>
        <v>26</v>
      </c>
      <c r="E112" s="327">
        <f t="shared" si="92"/>
        <v>27</v>
      </c>
      <c r="F112" s="327">
        <f t="shared" si="92"/>
        <v>28</v>
      </c>
      <c r="G112" s="327">
        <f>F112+1</f>
        <v>29</v>
      </c>
      <c r="H112" s="328">
        <f t="shared" si="93"/>
        <v>30</v>
      </c>
      <c r="I112" s="336">
        <f t="shared" si="93"/>
        <v>31</v>
      </c>
      <c r="J112" s="342"/>
      <c r="K112" s="343"/>
      <c r="L112" s="344"/>
      <c r="M112" s="344"/>
      <c r="N112" s="345"/>
    </row>
    <row r="113" spans="2:14" ht="18.5" thickBot="1" x14ac:dyDescent="0.45">
      <c r="B113" s="346" t="s">
        <v>169</v>
      </c>
      <c r="C113" s="347">
        <f t="shared" ref="C113:I113" si="94">COUNT(C60:C112)</f>
        <v>52</v>
      </c>
      <c r="D113" s="347">
        <f t="shared" si="94"/>
        <v>52</v>
      </c>
      <c r="E113" s="347">
        <f t="shared" si="94"/>
        <v>52</v>
      </c>
      <c r="F113" s="347">
        <f t="shared" si="94"/>
        <v>52</v>
      </c>
      <c r="G113" s="347">
        <f t="shared" si="94"/>
        <v>52</v>
      </c>
      <c r="H113" s="347">
        <f t="shared" si="94"/>
        <v>52</v>
      </c>
      <c r="I113" s="347">
        <f t="shared" si="94"/>
        <v>53</v>
      </c>
      <c r="J113" s="348">
        <f>SUM(C113:I113)</f>
        <v>365</v>
      </c>
      <c r="K113" s="349">
        <f>SUM(K60:K112)</f>
        <v>251</v>
      </c>
      <c r="L113" s="350">
        <f>SUM(L60:L112)</f>
        <v>2004</v>
      </c>
      <c r="M113" s="351">
        <f>SUM(M60:M112)</f>
        <v>18</v>
      </c>
      <c r="N113" s="352">
        <f>SUM(N60:N112)</f>
        <v>1</v>
      </c>
    </row>
    <row r="114" spans="2:14" ht="18.5" thickBot="1" x14ac:dyDescent="0.45">
      <c r="B114" s="353" t="s">
        <v>170</v>
      </c>
      <c r="C114" s="354">
        <f t="shared" ref="C114:I114" si="95">C113-C115-C116-C117-C118</f>
        <v>47</v>
      </c>
      <c r="D114" s="354">
        <f t="shared" si="95"/>
        <v>51</v>
      </c>
      <c r="E114" s="354">
        <f t="shared" si="95"/>
        <v>52</v>
      </c>
      <c r="F114" s="354">
        <f t="shared" si="95"/>
        <v>51</v>
      </c>
      <c r="G114" s="354">
        <f t="shared" si="95"/>
        <v>49</v>
      </c>
      <c r="H114" s="354">
        <f t="shared" si="95"/>
        <v>1</v>
      </c>
      <c r="I114" s="354">
        <f t="shared" si="95"/>
        <v>0</v>
      </c>
      <c r="J114" s="355">
        <f>SUM(C114:I114)</f>
        <v>251</v>
      </c>
      <c r="K114" s="317">
        <v>1</v>
      </c>
      <c r="L114" s="317">
        <f>L113/12</f>
        <v>167</v>
      </c>
      <c r="M114" s="317"/>
      <c r="N114" s="317"/>
    </row>
    <row r="115" spans="2:14" ht="18.5" thickBot="1" x14ac:dyDescent="0.45">
      <c r="B115" s="356" t="s">
        <v>171</v>
      </c>
      <c r="C115" s="357"/>
      <c r="D115" s="357"/>
      <c r="E115" s="357"/>
      <c r="F115" s="357"/>
      <c r="G115" s="357"/>
      <c r="H115" s="358">
        <f>H113-H117</f>
        <v>50</v>
      </c>
      <c r="I115" s="359"/>
      <c r="J115" s="360">
        <f>SUM(C115:I115)</f>
        <v>50</v>
      </c>
      <c r="K115" s="317">
        <v>1</v>
      </c>
      <c r="L115" s="317"/>
      <c r="M115" s="317"/>
      <c r="N115" s="317"/>
    </row>
    <row r="116" spans="2:14" ht="18.5" thickBot="1" x14ac:dyDescent="0.45">
      <c r="B116" s="361" t="s">
        <v>172</v>
      </c>
      <c r="C116" s="327"/>
      <c r="D116" s="327"/>
      <c r="E116" s="327"/>
      <c r="F116" s="327"/>
      <c r="G116" s="327"/>
      <c r="H116" s="327"/>
      <c r="I116" s="362">
        <f>I113-I117</f>
        <v>46</v>
      </c>
      <c r="J116" s="363">
        <f>SUM(C116:I116)</f>
        <v>46</v>
      </c>
      <c r="K116" s="317">
        <v>1</v>
      </c>
      <c r="L116" s="317"/>
      <c r="M116" s="317"/>
      <c r="N116" s="317"/>
    </row>
    <row r="117" spans="2:14" ht="18.5" thickBot="1" x14ac:dyDescent="0.45">
      <c r="B117" s="364" t="s">
        <v>155</v>
      </c>
      <c r="C117" s="365">
        <v>5</v>
      </c>
      <c r="D117" s="365">
        <v>1</v>
      </c>
      <c r="E117" s="365">
        <v>0</v>
      </c>
      <c r="F117" s="365">
        <f>COUNT(F111)</f>
        <v>1</v>
      </c>
      <c r="G117" s="365">
        <v>2</v>
      </c>
      <c r="H117" s="365">
        <v>2</v>
      </c>
      <c r="I117" s="366">
        <v>7</v>
      </c>
      <c r="J117" s="367">
        <f>SUM(C117:I117)</f>
        <v>18</v>
      </c>
      <c r="K117" s="317">
        <v>2</v>
      </c>
      <c r="L117" s="317"/>
      <c r="M117" s="317"/>
      <c r="N117" s="317"/>
    </row>
    <row r="118" spans="2:14" ht="18.5" thickBot="1" x14ac:dyDescent="0.45">
      <c r="B118" s="368" t="s">
        <v>173</v>
      </c>
      <c r="C118" s="369"/>
      <c r="D118" s="369"/>
      <c r="E118" s="369"/>
      <c r="F118" s="370"/>
      <c r="G118" s="371">
        <v>1</v>
      </c>
      <c r="H118" s="371">
        <v>-1</v>
      </c>
      <c r="I118" s="372"/>
      <c r="J118" s="373">
        <f>SUM(D118:I118)</f>
        <v>0</v>
      </c>
      <c r="K118" s="317"/>
      <c r="L118" s="317"/>
      <c r="M118" s="317"/>
      <c r="N118" s="317"/>
    </row>
  </sheetData>
  <mergeCells count="7">
    <mergeCell ref="B58:N58"/>
    <mergeCell ref="A16:A18"/>
    <mergeCell ref="A23:A25"/>
    <mergeCell ref="A30:A32"/>
    <mergeCell ref="A38:A40"/>
    <mergeCell ref="A45:A47"/>
    <mergeCell ref="A52:A54"/>
  </mergeCells>
  <conditionalFormatting sqref="E15 E16:F35 E37 E38:F57">
    <cfRule type="cellIs" dxfId="1" priority="2" operator="equal">
      <formula>"Atbalsta postenis no BKUS"</formula>
    </cfRule>
  </conditionalFormatting>
  <conditionalFormatting sqref="E16:F35 E38:F57">
    <cfRule type="cellIs" dxfId="0" priority="1" operator="equal">
      <formula>"Atbalsta postenis BKUS"</formula>
    </cfRule>
  </conditionalFormatting>
  <pageMargins left="0.7" right="0.7" top="0.75" bottom="0.75" header="0.3" footer="0.3"/>
  <pageSetup scale="13" orientation="portrait" r:id="rId1"/>
  <colBreaks count="1" manualBreakCount="1">
    <brk id="58" min="1" max="11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9EF25-8943-4E66-8744-207DD6F761E2}">
  <sheetPr>
    <tabColor theme="2" tint="-0.249977111117893"/>
  </sheetPr>
  <dimension ref="A1:L58"/>
  <sheetViews>
    <sheetView view="pageBreakPreview" zoomScale="60" zoomScaleNormal="100" workbookViewId="0">
      <selection activeCell="K3" sqref="K3"/>
    </sheetView>
  </sheetViews>
  <sheetFormatPr defaultColWidth="9.1796875" defaultRowHeight="12.5" x14ac:dyDescent="0.25"/>
  <cols>
    <col min="1" max="1" width="31.26953125" style="34" customWidth="1"/>
    <col min="2" max="2" width="17.453125" style="34" customWidth="1"/>
    <col min="3" max="4" width="21.26953125" style="34" customWidth="1"/>
    <col min="5" max="5" width="18.453125" style="34" hidden="1" customWidth="1"/>
    <col min="6" max="6" width="16.1796875" style="34" customWidth="1"/>
    <col min="7" max="8" width="20.26953125" style="34" customWidth="1"/>
    <col min="9" max="9" width="21.26953125" style="34" customWidth="1"/>
    <col min="10" max="10" width="15.54296875" style="34" bestFit="1" customWidth="1"/>
    <col min="11" max="11" width="9.1796875" style="34"/>
    <col min="12" max="12" width="14.81640625" style="34" customWidth="1"/>
    <col min="13" max="16384" width="9.1796875" style="34"/>
  </cols>
  <sheetData>
    <row r="1" spans="1:12" x14ac:dyDescent="0.25">
      <c r="I1" s="34" t="s">
        <v>324</v>
      </c>
    </row>
    <row r="2" spans="1:12" ht="18.5" x14ac:dyDescent="0.45">
      <c r="A2" s="132" t="s">
        <v>314</v>
      </c>
      <c r="B2" s="131"/>
      <c r="C2" s="131"/>
      <c r="D2" s="131"/>
      <c r="E2" s="131"/>
      <c r="F2" s="131"/>
      <c r="G2" s="131"/>
      <c r="H2" s="131"/>
      <c r="I2" s="131"/>
    </row>
    <row r="3" spans="1:12" ht="200.25" customHeight="1" x14ac:dyDescent="0.25">
      <c r="A3" s="399" t="s">
        <v>185</v>
      </c>
      <c r="B3" s="400"/>
      <c r="C3" s="400"/>
      <c r="D3" s="400"/>
      <c r="E3" s="400"/>
      <c r="F3" s="400"/>
      <c r="G3" s="400"/>
      <c r="H3" s="400"/>
      <c r="I3" s="400"/>
    </row>
    <row r="4" spans="1:12" s="129" customFormat="1" ht="39" x14ac:dyDescent="0.25">
      <c r="A4" s="27"/>
      <c r="B4" s="130" t="s">
        <v>186</v>
      </c>
      <c r="C4" s="130" t="s">
        <v>187</v>
      </c>
      <c r="D4" s="130" t="s">
        <v>188</v>
      </c>
      <c r="E4" s="28" t="s">
        <v>189</v>
      </c>
      <c r="F4" s="130" t="s">
        <v>190</v>
      </c>
      <c r="G4" s="130" t="s">
        <v>191</v>
      </c>
      <c r="H4" s="130" t="s">
        <v>192</v>
      </c>
      <c r="I4" s="29" t="s">
        <v>193</v>
      </c>
    </row>
    <row r="5" spans="1:12" ht="29" x14ac:dyDescent="0.25">
      <c r="A5" s="128" t="s">
        <v>194</v>
      </c>
      <c r="B5" s="127" t="s">
        <v>195</v>
      </c>
      <c r="C5" s="127" t="s">
        <v>150</v>
      </c>
      <c r="D5" s="126" t="s">
        <v>196</v>
      </c>
      <c r="E5" s="125" t="s">
        <v>197</v>
      </c>
      <c r="F5" s="123" t="s">
        <v>137</v>
      </c>
      <c r="G5" s="124" t="s">
        <v>138</v>
      </c>
      <c r="H5" s="123" t="s">
        <v>198</v>
      </c>
      <c r="I5" s="122" t="s">
        <v>199</v>
      </c>
    </row>
    <row r="6" spans="1:12" ht="13" x14ac:dyDescent="0.3">
      <c r="A6" s="33">
        <v>1</v>
      </c>
      <c r="B6" s="33">
        <v>2</v>
      </c>
      <c r="C6" s="33">
        <v>3</v>
      </c>
      <c r="D6" s="33">
        <v>4</v>
      </c>
      <c r="E6" s="33">
        <v>5</v>
      </c>
      <c r="F6" s="33">
        <v>6</v>
      </c>
      <c r="G6" s="33">
        <v>7</v>
      </c>
      <c r="H6" s="33">
        <v>8</v>
      </c>
      <c r="I6" s="121">
        <v>10</v>
      </c>
      <c r="K6" s="136"/>
    </row>
    <row r="7" spans="1:12" ht="14.5" x14ac:dyDescent="0.35">
      <c r="A7" s="120" t="s">
        <v>17</v>
      </c>
      <c r="B7" s="138">
        <f>INDEX('Specialisti - aprekini_jaunais'!M$9:M$553, MATCH(A7, 'Specialisti - aprekini_jaunais'!B$9:B$552, 0))</f>
        <v>9399994.868999999</v>
      </c>
      <c r="C7" s="138">
        <f>B7*0.2359</f>
        <v>2217458.7895970996</v>
      </c>
      <c r="D7" s="138">
        <f>INDEX('Specialisti - aprekini_jaunais'!N$9:N$552, MATCH(A7, 'Specialisti - aprekini_jaunais'!B$9:B$552, 0))</f>
        <v>290994.48</v>
      </c>
      <c r="E7" s="138"/>
      <c r="F7" s="138">
        <f>B7*'Darba algas UZŅEMŠANĀ_jaunais'!$BD$19</f>
        <v>2643278.5571627999</v>
      </c>
      <c r="G7" s="138">
        <f>B7*'Darba algas UZŅEMŠANĀ_jaunais'!$BE$19</f>
        <v>205859.88763109996</v>
      </c>
      <c r="H7" s="138">
        <f>B7*'Darba algas UZŅEMŠANĀ_jaunais'!$BF$19</f>
        <v>328059.82092809997</v>
      </c>
      <c r="I7" s="138">
        <f>INDEX('Specialisti - aprekini_jaunais'!I$9:I$552, MATCH(A7, 'Specialisti - aprekini_jaunais'!B$9:B$552, 0))</f>
        <v>15085647</v>
      </c>
      <c r="J7" s="36"/>
      <c r="L7" s="36"/>
    </row>
    <row r="8" spans="1:12" ht="14.5" x14ac:dyDescent="0.35">
      <c r="A8" s="120" t="s">
        <v>6</v>
      </c>
      <c r="B8" s="138">
        <f>INDEX('Specialisti - aprekini_jaunais'!M$9:M$553, MATCH(A8, 'Specialisti - aprekini_jaunais'!B$9:B$552, 0))</f>
        <v>12303752.225000001</v>
      </c>
      <c r="C8" s="138">
        <f>B8*0.2359</f>
        <v>2902455.1498775003</v>
      </c>
      <c r="D8" s="138">
        <f>INDEX('Specialisti - aprekini_jaunais'!N$9:N$552, MATCH(A8, 'Specialisti - aprekini_jaunais'!B$9:B$552, 0))</f>
        <v>387992.63999999996</v>
      </c>
      <c r="E8" s="138"/>
      <c r="F8" s="138">
        <f>B8*'Darba algas UZŅEMŠANĀ_jaunais'!$BD$19</f>
        <v>3459815.1256700004</v>
      </c>
      <c r="G8" s="138">
        <f>B8*'Darba algas UZŅEMŠANĀ_jaunais'!$BE$19</f>
        <v>269452.17372750002</v>
      </c>
      <c r="H8" s="138">
        <f>B8*'Darba algas UZŅEMŠANĀ_jaunais'!$BF$19</f>
        <v>429400.95265250007</v>
      </c>
      <c r="I8" s="138">
        <f>INDEX('Specialisti - aprekini_jaunais'!I$9:I$552, MATCH(A8, 'Specialisti - aprekini_jaunais'!B$9:B$552, 0))</f>
        <v>19752870</v>
      </c>
      <c r="J8" s="36"/>
      <c r="L8" s="36"/>
    </row>
    <row r="9" spans="1:12" ht="14.5" x14ac:dyDescent="0.35">
      <c r="A9" s="120" t="s">
        <v>20</v>
      </c>
      <c r="B9" s="138">
        <f>INDEX('Specialisti - aprekini_jaunais'!M$9:M$553, MATCH(A9, 'Specialisti - aprekini_jaunais'!B$9:B$552, 0))</f>
        <v>6315494.705000001</v>
      </c>
      <c r="C9" s="138">
        <f t="shared" ref="C9:C42" si="0">B9*0.2359</f>
        <v>1489825.2009095002</v>
      </c>
      <c r="D9" s="138">
        <f>INDEX('Specialisti - aprekini_jaunais'!N$9:N$552, MATCH(A9, 'Specialisti - aprekini_jaunais'!B$9:B$552, 0))</f>
        <v>193996.31999999998</v>
      </c>
      <c r="E9" s="138"/>
      <c r="F9" s="138">
        <f>B9*'Darba algas UZŅEMŠANĀ_jaunais'!$BD$19</f>
        <v>1775917.1110460004</v>
      </c>
      <c r="G9" s="138">
        <f>B9*'Darba algas UZŅEMŠANĀ_jaunais'!$BE$19</f>
        <v>138309.33403950001</v>
      </c>
      <c r="H9" s="138">
        <f>B9*'Darba algas UZŅEMŠANĀ_jaunais'!$BF$19</f>
        <v>220410.76520450003</v>
      </c>
      <c r="I9" s="138">
        <f>INDEX('Specialisti - aprekini_jaunais'!I$9:I$552, MATCH(A9, 'Specialisti - aprekini_jaunais'!B$9:B$552, 0))</f>
        <v>10133954</v>
      </c>
      <c r="J9" s="36"/>
      <c r="L9" s="36"/>
    </row>
    <row r="10" spans="1:12" ht="14.5" x14ac:dyDescent="0.35">
      <c r="A10" s="120" t="s">
        <v>30</v>
      </c>
      <c r="B10" s="138">
        <f>INDEX('Specialisti - aprekini_jaunais'!M$9:M$553, MATCH(A10, 'Specialisti - aprekini_jaunais'!B$9:B$552, 0))</f>
        <v>2422530.9850000003</v>
      </c>
      <c r="C10" s="138">
        <f t="shared" si="0"/>
        <v>571475.05936150008</v>
      </c>
      <c r="D10" s="138">
        <f>INDEX('Specialisti - aprekini_jaunais'!N$9:N$552, MATCH(A10, 'Specialisti - aprekini_jaunais'!B$9:B$552, 0))</f>
        <v>110855.03999999999</v>
      </c>
      <c r="E10" s="138"/>
      <c r="F10" s="138">
        <f>B10*'Darba algas UZŅEMŠANĀ_jaunais'!$BD$19</f>
        <v>681215.71298200008</v>
      </c>
      <c r="G10" s="138">
        <f>B10*'Darba algas UZŅEMŠANĀ_jaunais'!$BE$19</f>
        <v>53053.428571500008</v>
      </c>
      <c r="H10" s="138">
        <f>B10*'Darba algas UZŅEMŠANĀ_jaunais'!$BF$19</f>
        <v>84546.331376500006</v>
      </c>
      <c r="I10" s="138">
        <f>INDEX('Specialisti - aprekini_jaunais'!I$9:I$552, MATCH(A10, 'Specialisti - aprekini_jaunais'!B$9:B$552, 0))</f>
        <v>3923676.5572915003</v>
      </c>
      <c r="J10" s="36"/>
      <c r="L10" s="36"/>
    </row>
    <row r="11" spans="1:12" ht="14.5" x14ac:dyDescent="0.35">
      <c r="A11" s="120" t="s">
        <v>40</v>
      </c>
      <c r="B11" s="138">
        <f>INDEX('Specialisti - aprekini_jaunais'!M$9:M$553, MATCH(A11, 'Specialisti - aprekini_jaunais'!B$9:B$552, 0))</f>
        <v>2851754.4950000001</v>
      </c>
      <c r="C11" s="138">
        <f t="shared" si="0"/>
        <v>672728.88537050004</v>
      </c>
      <c r="D11" s="138">
        <f>INDEX('Specialisti - aprekini_jaunais'!N$9:N$552, MATCH(A11, 'Specialisti - aprekini_jaunais'!B$9:B$552, 0))</f>
        <v>138568.79999999999</v>
      </c>
      <c r="E11" s="138"/>
      <c r="F11" s="138">
        <f>B11*'Darba algas UZŅEMŠANĀ_jaunais'!$BD$19</f>
        <v>801913.36399400001</v>
      </c>
      <c r="G11" s="138">
        <f>B11*'Darba algas UZŅEMŠANĀ_jaunais'!$BE$19</f>
        <v>62453.423440500002</v>
      </c>
      <c r="H11" s="138">
        <f>B11*'Darba algas UZŅEMŠANĀ_jaunais'!$BF$19</f>
        <v>99526.231875500001</v>
      </c>
      <c r="I11" s="138">
        <f>INDEX('Specialisti - aprekini_jaunais'!I$9:I$552, MATCH(A11, 'Specialisti - aprekini_jaunais'!B$9:B$552, 0))</f>
        <v>4626945.1996804997</v>
      </c>
      <c r="J11" s="36"/>
      <c r="L11" s="36"/>
    </row>
    <row r="12" spans="1:12" ht="14.5" x14ac:dyDescent="0.35">
      <c r="A12" s="120" t="s">
        <v>183</v>
      </c>
      <c r="B12" s="138">
        <f>INDEX('Specialisti - aprekini_jaunais'!M$9:M$553, MATCH(A12, 'Specialisti - aprekini_jaunais'!B$9:B$552, 0))</f>
        <v>2940052.29</v>
      </c>
      <c r="C12" s="138">
        <f t="shared" si="0"/>
        <v>693558.33521100006</v>
      </c>
      <c r="D12" s="138">
        <f>INDEX('Specialisti - aprekini_jaunais'!N$9:N$552, MATCH(A12, 'Specialisti - aprekini_jaunais'!B$9:B$552, 0))</f>
        <v>138568.79999999999</v>
      </c>
      <c r="E12" s="138"/>
      <c r="F12" s="138">
        <f>B12*'Darba algas UZŅEMŠANĀ_jaunais'!$BD$19</f>
        <v>826742.70394799998</v>
      </c>
      <c r="G12" s="138">
        <f>B12*'Darba algas UZŅEMŠANĀ_jaunais'!$BE$19</f>
        <v>64387.145150999997</v>
      </c>
      <c r="H12" s="138">
        <f>B12*'Darba algas UZŅEMŠANĀ_jaunais'!$BF$19</f>
        <v>102607.82492100001</v>
      </c>
      <c r="I12" s="138">
        <f>INDEX('Specialisti - aprekini_jaunais'!I$9:I$552, MATCH(A12, 'Specialisti - aprekini_jaunais'!B$9:B$552, 0))</f>
        <v>4765917.39231</v>
      </c>
      <c r="J12" s="36"/>
      <c r="K12" s="137"/>
      <c r="L12" s="36"/>
    </row>
    <row r="13" spans="1:12" ht="14.5" x14ac:dyDescent="0.35">
      <c r="A13" s="120" t="s">
        <v>57</v>
      </c>
      <c r="B13" s="138">
        <f>INDEX('Specialisti - aprekini_jaunais'!M$9:M$553, MATCH(A13, 'Specialisti - aprekini_jaunais'!B$9:B$552, 0))</f>
        <v>2275616.4650000003</v>
      </c>
      <c r="C13" s="138">
        <f t="shared" si="0"/>
        <v>536817.92409350013</v>
      </c>
      <c r="D13" s="138">
        <f>INDEX('Specialisti - aprekini_jaunais'!N$9:N$552, MATCH(A13, 'Specialisti - aprekini_jaunais'!B$9:B$552, 0))</f>
        <v>110855.03999999999</v>
      </c>
      <c r="E13" s="138"/>
      <c r="F13" s="138">
        <f>B13*'Darba algas UZŅEMŠANĀ_jaunais'!$BD$19</f>
        <v>639903.34995800012</v>
      </c>
      <c r="G13" s="138">
        <f>B13*'Darba algas UZŅEMŠANĀ_jaunais'!$BE$19</f>
        <v>49836.000583500005</v>
      </c>
      <c r="H13" s="138">
        <f>B13*'Darba algas UZŅEMŠANĀ_jaunais'!$BF$19</f>
        <v>79419.014628500008</v>
      </c>
      <c r="I13" s="138">
        <f>INDEX('Specialisti - aprekini_jaunais'!I$9:I$552, MATCH(A13, 'Specialisti - aprekini_jaunais'!B$9:B$552, 0))</f>
        <v>3692447.7942635003</v>
      </c>
      <c r="J13" s="36"/>
      <c r="L13" s="36"/>
    </row>
    <row r="14" spans="1:12" ht="14.5" x14ac:dyDescent="0.35">
      <c r="A14" s="120" t="s">
        <v>49</v>
      </c>
      <c r="B14" s="138">
        <f>INDEX('Specialisti - aprekini_jaunais'!M$9:M$553, MATCH(A14, 'Specialisti - aprekini_jaunais'!B$9:B$552, 0))</f>
        <v>2275616.4650000003</v>
      </c>
      <c r="C14" s="138">
        <f t="shared" si="0"/>
        <v>536817.92409350013</v>
      </c>
      <c r="D14" s="138">
        <f>INDEX('Specialisti - aprekini_jaunais'!N$9:N$552, MATCH(A14, 'Specialisti - aprekini_jaunais'!B$9:B$552, 0))</f>
        <v>110855.03999999999</v>
      </c>
      <c r="E14" s="138"/>
      <c r="F14" s="138">
        <f>B14*'Darba algas UZŅEMŠANĀ_jaunais'!$BD$19</f>
        <v>639903.34995800012</v>
      </c>
      <c r="G14" s="138">
        <f>B14*'Darba algas UZŅEMŠANĀ_jaunais'!$BE$19</f>
        <v>49836.000583500005</v>
      </c>
      <c r="H14" s="138">
        <f>B14*'Darba algas UZŅEMŠANĀ_jaunais'!$BF$19</f>
        <v>79419.014628500008</v>
      </c>
      <c r="I14" s="138">
        <f>INDEX('Specialisti - aprekini_jaunais'!I$9:I$552, MATCH(A14, 'Specialisti - aprekini_jaunais'!B$9:B$552, 0))</f>
        <v>3692447.7942635003</v>
      </c>
      <c r="J14" s="36"/>
      <c r="L14" s="36"/>
    </row>
    <row r="15" spans="1:12" ht="14.5" x14ac:dyDescent="0.35">
      <c r="A15" s="120" t="s">
        <v>60</v>
      </c>
      <c r="B15" s="138">
        <f>INDEX('Specialisti - aprekini_jaunais'!M$9:M$553, MATCH(A15, 'Specialisti - aprekini_jaunais'!B$9:B$552, 0))</f>
        <v>2275616.4650000003</v>
      </c>
      <c r="C15" s="138">
        <f t="shared" si="0"/>
        <v>536817.92409350013</v>
      </c>
      <c r="D15" s="138">
        <f>INDEX('Specialisti - aprekini_jaunais'!N$9:N$552, MATCH(A15, 'Specialisti - aprekini_jaunais'!B$9:B$552, 0))</f>
        <v>110855.03999999999</v>
      </c>
      <c r="E15" s="138"/>
      <c r="F15" s="138">
        <f>B15*'Darba algas UZŅEMŠANĀ_jaunais'!$BD$19</f>
        <v>639903.34995800012</v>
      </c>
      <c r="G15" s="138">
        <f>B15*'Darba algas UZŅEMŠANĀ_jaunais'!$BE$19</f>
        <v>49836.000583500005</v>
      </c>
      <c r="H15" s="138">
        <f>B15*'Darba algas UZŅEMŠANĀ_jaunais'!$BF$19</f>
        <v>79419.014628500008</v>
      </c>
      <c r="I15" s="138">
        <f>INDEX('Specialisti - aprekini_jaunais'!I$9:I$552, MATCH(A15, 'Specialisti - aprekini_jaunais'!B$9:B$552, 0))</f>
        <v>3692447.7942635003</v>
      </c>
      <c r="J15" s="36"/>
      <c r="L15" s="36"/>
    </row>
    <row r="16" spans="1:12" ht="14.5" x14ac:dyDescent="0.35">
      <c r="A16" s="120" t="s">
        <v>43</v>
      </c>
      <c r="B16" s="138">
        <f>INDEX('Specialisti - aprekini_jaunais'!M$9:M$553, MATCH(A16, 'Specialisti - aprekini_jaunais'!B$9:B$552, 0))</f>
        <v>2275616.4650000003</v>
      </c>
      <c r="C16" s="138">
        <f t="shared" si="0"/>
        <v>536817.92409350013</v>
      </c>
      <c r="D16" s="138">
        <f>INDEX('Specialisti - aprekini_jaunais'!N$9:N$552, MATCH(A16, 'Specialisti - aprekini_jaunais'!B$9:B$552, 0))</f>
        <v>110855.03999999999</v>
      </c>
      <c r="E16" s="138"/>
      <c r="F16" s="138">
        <f>B16*'Darba algas UZŅEMŠANĀ_jaunais'!$BD$19</f>
        <v>639903.34995800012</v>
      </c>
      <c r="G16" s="138">
        <f>B16*'Darba algas UZŅEMŠANĀ_jaunais'!$BE$19</f>
        <v>49836.000583500005</v>
      </c>
      <c r="H16" s="138">
        <f>B16*'Darba algas UZŅEMŠANĀ_jaunais'!$BF$19</f>
        <v>79419.014628500008</v>
      </c>
      <c r="I16" s="138">
        <f>INDEX('Specialisti - aprekini_jaunais'!I$9:I$552, MATCH(A16, 'Specialisti - aprekini_jaunais'!B$9:B$552, 0))</f>
        <v>3692447.7942635003</v>
      </c>
      <c r="J16" s="36"/>
      <c r="L16" s="36"/>
    </row>
    <row r="17" spans="1:12" ht="14.5" x14ac:dyDescent="0.35">
      <c r="A17" s="120" t="s">
        <v>52</v>
      </c>
      <c r="B17" s="138">
        <f>INDEX('Specialisti - aprekini_jaunais'!M$9:M$553, MATCH(A17, 'Specialisti - aprekini_jaunais'!B$9:B$552, 0))</f>
        <v>1699478.4350000003</v>
      </c>
      <c r="C17" s="138">
        <f t="shared" si="0"/>
        <v>400906.96281650005</v>
      </c>
      <c r="D17" s="138">
        <f>INDEX('Specialisti - aprekini_jaunais'!N$9:N$552, MATCH(A17, 'Specialisti - aprekini_jaunais'!B$9:B$552, 0))</f>
        <v>83141.279999999999</v>
      </c>
      <c r="E17" s="138"/>
      <c r="F17" s="138">
        <f>B17*'Darba algas UZŅEMŠANĀ_jaunais'!$BD$19</f>
        <v>477893.33592200011</v>
      </c>
      <c r="G17" s="138">
        <f>B17*'Darba algas UZŅEMŠANĀ_jaunais'!$BE$19</f>
        <v>37218.577726500007</v>
      </c>
      <c r="H17" s="138">
        <f>B17*'Darba algas UZŅEMŠANĀ_jaunais'!$BF$19</f>
        <v>59311.797381500008</v>
      </c>
      <c r="I17" s="138">
        <f>INDEX('Specialisti - aprekini_jaunais'!I$9:I$552, MATCH(A17, 'Specialisti - aprekini_jaunais'!B$9:B$552, 0))</f>
        <v>2757950.3888465008</v>
      </c>
      <c r="J17" s="36"/>
      <c r="L17" s="36"/>
    </row>
    <row r="18" spans="1:12" ht="14.5" x14ac:dyDescent="0.35">
      <c r="A18" s="120" t="s">
        <v>50</v>
      </c>
      <c r="B18" s="138">
        <f>INDEX('Specialisti - aprekini_jaunais'!M$9:M$553, MATCH(A18, 'Specialisti - aprekini_jaunais'!B$9:B$552, 0))</f>
        <v>1056326.1165625001</v>
      </c>
      <c r="C18" s="138">
        <f t="shared" si="0"/>
        <v>249187.33089709378</v>
      </c>
      <c r="D18" s="138">
        <f>INDEX('Specialisti - aprekini_jaunais'!N$9:N$552, MATCH(A18, 'Specialisti - aprekini_jaunais'!B$9:B$552, 0))</f>
        <v>41570.639999999999</v>
      </c>
      <c r="E18" s="138"/>
      <c r="F18" s="138">
        <f>B18*'Darba algas UZŅEMŠANĀ_jaunais'!$BD$19-('Darba algas UZŅEMŠANĀ_jaunais'!$BD$19*'Darba algas UZŅEMŠANĀ_jaunais'!BA42)</f>
        <v>267844.36100800009</v>
      </c>
      <c r="G18" s="138">
        <f>B18*'Darba algas UZŅEMŠANĀ_jaunais'!$BE$19-('Darba algas UZŅEMŠANĀ_jaunais'!$BE$19*'Darba algas UZŅEMŠANĀ_jaunais'!BA42)</f>
        <v>20859.855996000002</v>
      </c>
      <c r="H18" s="138">
        <f>B18*'Darba algas UZŅEMŠANĀ_jaunais'!$BF$19-('Darba algas UZŅEMŠANĀ_jaunais'!$BF$19*'Darba algas UZŅEMŠANĀ_jaunais'!BA42)</f>
        <v>33242.41891600001</v>
      </c>
      <c r="I18" s="138">
        <f>INDEX('Specialisti - aprekini_jaunais'!I$9:I$552, MATCH(A18, 'Specialisti - aprekini_jaunais'!B$9:B$552, 0))</f>
        <v>1669030.7233795938</v>
      </c>
      <c r="J18" s="36"/>
      <c r="K18" s="137"/>
      <c r="L18" s="36"/>
    </row>
    <row r="19" spans="1:12" ht="14.5" x14ac:dyDescent="0.35">
      <c r="A19" s="120" t="s">
        <v>58</v>
      </c>
      <c r="B19" s="138">
        <f>INDEX('Specialisti - aprekini_jaunais'!M$9:M$553, MATCH(A19, 'Specialisti - aprekini_jaunais'!B$9:B$552, 0))</f>
        <v>1520990.7215625001</v>
      </c>
      <c r="C19" s="138">
        <f t="shared" si="0"/>
        <v>358801.7112165938</v>
      </c>
      <c r="D19" s="138">
        <f>INDEX('Specialisti - aprekini_jaunais'!N$9:N$552, MATCH(A19, 'Specialisti - aprekini_jaunais'!B$9:B$552, 0))</f>
        <v>55427.519999999997</v>
      </c>
      <c r="E19" s="138"/>
      <c r="F19" s="138">
        <f>B19*'Darba algas UZŅEMŠANĀ_jaunais'!$BD$19-('Darba algas UZŅEMŠANĀ_jaunais'!$BD$19*'Darba algas UZŅEMŠANĀ_jaunais'!BA42)</f>
        <v>398508.04793400009</v>
      </c>
      <c r="G19" s="138">
        <f>B19*'Darba algas UZŅEMŠANĀ_jaunais'!$BE$19-('Darba algas UZŅEMŠANĀ_jaunais'!$BE$19*'Darba algas UZŅEMŠANĀ_jaunais'!BA42)</f>
        <v>31036.010845500001</v>
      </c>
      <c r="H19" s="138">
        <f>B19*'Darba algas UZŅEMŠANĀ_jaunais'!$BF$19-('Darba algas UZŅEMŠANĀ_jaunais'!$BF$19*'Darba algas UZŅEMŠANĀ_jaunais'!BA42)</f>
        <v>49459.213630500002</v>
      </c>
      <c r="I19" s="138">
        <f>INDEX('Specialisti - aprekini_jaunais'!I$9:I$552, MATCH(A19, 'Specialisti - aprekini_jaunais'!B$9:B$552, 0))</f>
        <v>2414223.225189094</v>
      </c>
      <c r="J19" s="36"/>
      <c r="K19" s="137"/>
      <c r="L19" s="36"/>
    </row>
    <row r="20" spans="1:12" ht="14.5" x14ac:dyDescent="0.35">
      <c r="A20" s="120" t="s">
        <v>23</v>
      </c>
      <c r="B20" s="138">
        <f>INDEX('Specialisti - aprekini_jaunais'!M$9:M$553, MATCH(A20, 'Specialisti - aprekini_jaunais'!B$9:B$552, 0))</f>
        <v>1699478.4350000003</v>
      </c>
      <c r="C20" s="138">
        <f t="shared" si="0"/>
        <v>400906.96281650005</v>
      </c>
      <c r="D20" s="138">
        <f>INDEX('Specialisti - aprekini_jaunais'!N$9:N$552, MATCH(A20, 'Specialisti - aprekini_jaunais'!B$9:B$552, 0))</f>
        <v>83141.279999999999</v>
      </c>
      <c r="E20" s="138"/>
      <c r="F20" s="138">
        <f>B20*'Darba algas UZŅEMŠANĀ_jaunais'!$BD$19</f>
        <v>477893.33592200011</v>
      </c>
      <c r="G20" s="138">
        <f>B20*'Darba algas UZŅEMŠANĀ_jaunais'!$BE$19</f>
        <v>37218.577726500007</v>
      </c>
      <c r="H20" s="138">
        <f>B20*'Darba algas UZŅEMŠANĀ_jaunais'!$BF$19</f>
        <v>59311.797381500008</v>
      </c>
      <c r="I20" s="138">
        <f>INDEX('Specialisti - aprekini_jaunais'!I$9:I$552, MATCH(A20, 'Specialisti - aprekini_jaunais'!B$9:B$552, 0))</f>
        <v>2757950.3888465008</v>
      </c>
      <c r="J20" s="36"/>
      <c r="K20" s="137"/>
      <c r="L20" s="36"/>
    </row>
    <row r="21" spans="1:12" ht="14.5" x14ac:dyDescent="0.35">
      <c r="A21" s="120" t="s">
        <v>55</v>
      </c>
      <c r="B21" s="138">
        <f>INDEX('Specialisti - aprekini_jaunais'!M$9:M$553, MATCH(A21, 'Specialisti - aprekini_jaunais'!B$9:B$552, 0))</f>
        <v>1374076.2015625001</v>
      </c>
      <c r="C21" s="138">
        <f t="shared" si="0"/>
        <v>324144.57594859379</v>
      </c>
      <c r="D21" s="138">
        <f>INDEX('Specialisti - aprekini_jaunais'!N$9:N$552, MATCH(A21, 'Specialisti - aprekini_jaunais'!B$9:B$552, 0))</f>
        <v>55427.519999999997</v>
      </c>
      <c r="E21" s="138"/>
      <c r="F21" s="138">
        <f>B21*'Darba algas UZŅEMŠANĀ_jaunais'!$BD$19-('Darba algas UZŅEMŠANĀ_jaunais'!$BD$19*'Darba algas UZŅEMŠANĀ_jaunais'!BA42)</f>
        <v>357195.68491000007</v>
      </c>
      <c r="G21" s="138">
        <f>B21*'Darba algas UZŅEMŠANĀ_jaunais'!$BE$19-('Darba algas UZŅEMŠANĀ_jaunais'!$BE$19*'Darba algas UZŅEMŠANĀ_jaunais'!BA42)</f>
        <v>27818.582857500001</v>
      </c>
      <c r="H21" s="138">
        <f>B21*'Darba algas UZŅEMŠANĀ_jaunais'!$BF$19-('Darba algas UZŅEMŠANĀ_jaunais'!$BF$19*'Darba algas UZŅEMŠANĀ_jaunais'!BA42)</f>
        <v>44331.896882500005</v>
      </c>
      <c r="I21" s="138">
        <f>INDEX('Specialisti - aprekini_jaunais'!I$9:I$552, MATCH(A21, 'Specialisti - aprekini_jaunais'!B$9:B$552, 0))</f>
        <v>2182994.462161094</v>
      </c>
      <c r="J21" s="36"/>
      <c r="K21" s="137"/>
      <c r="L21" s="36"/>
    </row>
    <row r="22" spans="1:12" ht="14.5" x14ac:dyDescent="0.35">
      <c r="A22" s="120" t="s">
        <v>46</v>
      </c>
      <c r="B22" s="138">
        <f>INDEX('Specialisti - aprekini_jaunais'!M$9:M$553, MATCH(A22, 'Specialisti - aprekini_jaunais'!B$9:B$552, 0))</f>
        <v>1374076.2015625001</v>
      </c>
      <c r="C22" s="138">
        <f t="shared" si="0"/>
        <v>324144.57594859379</v>
      </c>
      <c r="D22" s="138">
        <f>INDEX('Specialisti - aprekini_jaunais'!N$9:N$552, MATCH(A22, 'Specialisti - aprekini_jaunais'!B$9:B$552, 0))</f>
        <v>55427.519999999997</v>
      </c>
      <c r="E22" s="138"/>
      <c r="F22" s="138">
        <f>B22*'Darba algas UZŅEMŠANĀ_jaunais'!$BD$19-('Darba algas UZŅEMŠANĀ_jaunais'!$BD$19*'Darba algas UZŅEMŠANĀ_jaunais'!BA42)</f>
        <v>357195.68491000007</v>
      </c>
      <c r="G22" s="138">
        <f>B22*'Darba algas UZŅEMŠANĀ_jaunais'!$BE$19-('Darba algas UZŅEMŠANĀ_jaunais'!$BE$19*'Darba algas UZŅEMŠANĀ_jaunais'!BA42)</f>
        <v>27818.582857500001</v>
      </c>
      <c r="H22" s="138">
        <f>B22*'Darba algas UZŅEMŠANĀ_jaunais'!$BF$19-('Darba algas UZŅEMŠANĀ_jaunais'!$BF$19*'Darba algas UZŅEMŠANĀ_jaunais'!BA42)</f>
        <v>44331.896882500005</v>
      </c>
      <c r="I22" s="138">
        <f>INDEX('Specialisti - aprekini_jaunais'!I$9:I$552, MATCH(A22, 'Specialisti - aprekini_jaunais'!B$9:B$552, 0))</f>
        <v>2182994.462161094</v>
      </c>
      <c r="J22" s="36"/>
      <c r="K22" s="137"/>
      <c r="L22" s="36"/>
    </row>
    <row r="23" spans="1:12" ht="14.5" x14ac:dyDescent="0.35">
      <c r="A23" s="120" t="s">
        <v>32</v>
      </c>
      <c r="B23" s="138">
        <f>INDEX('Specialisti - aprekini_jaunais'!M$9:M$553, MATCH(A23, 'Specialisti - aprekini_jaunais'!B$9:B$552, 0))</f>
        <v>1227161.6815625001</v>
      </c>
      <c r="C23" s="138">
        <f t="shared" si="0"/>
        <v>289487.44068059378</v>
      </c>
      <c r="D23" s="138">
        <f>INDEX('Specialisti - aprekini_jaunais'!N$9:N$552, MATCH(A23, 'Specialisti - aprekini_jaunais'!B$9:B$552, 0))</f>
        <v>55427.519999999997</v>
      </c>
      <c r="E23" s="138"/>
      <c r="F23" s="138">
        <f>B23*'Darba algas UZŅEMŠANĀ_jaunais'!$BD$19-('Darba algas UZŅEMŠANĀ_jaunais'!$BD$19*'Darba algas UZŅEMŠANĀ_jaunais'!BA42)</f>
        <v>315883.32188600005</v>
      </c>
      <c r="G23" s="138">
        <f>B23*'Darba algas UZŅEMŠANĀ_jaunais'!$BE$19-('Darba algas UZŅEMŠANĀ_jaunais'!$BE$19*'Darba algas UZŅEMŠANĀ_jaunais'!BA42)</f>
        <v>24601.154869500002</v>
      </c>
      <c r="H23" s="138">
        <f>B23*'Darba algas UZŅEMŠANĀ_jaunais'!$BF$19-('Darba algas UZŅEMŠANĀ_jaunais'!$BF$19*'Darba algas UZŅEMŠANĀ_jaunais'!BA42)</f>
        <v>39204.580134500007</v>
      </c>
      <c r="I23" s="138">
        <f>INDEX('Specialisti - aprekini_jaunais'!I$9:I$552, MATCH(A23, 'Specialisti - aprekini_jaunais'!B$9:B$552, 0))</f>
        <v>1951765.6991330939</v>
      </c>
      <c r="J23" s="36"/>
      <c r="K23" s="137"/>
      <c r="L23" s="36"/>
    </row>
    <row r="24" spans="1:12" ht="14.5" x14ac:dyDescent="0.35">
      <c r="A24" s="120" t="s">
        <v>54</v>
      </c>
      <c r="B24" s="138">
        <f>INDEX('Specialisti - aprekini_jaunais'!M$9:M$553, MATCH(A24, 'Specialisti - aprekini_jaunais'!B$9:B$552, 0))</f>
        <v>1056326.1165625001</v>
      </c>
      <c r="C24" s="138">
        <f t="shared" si="0"/>
        <v>249187.33089709378</v>
      </c>
      <c r="D24" s="138">
        <f>INDEX('Specialisti - aprekini_jaunais'!N$9:N$552, MATCH(A24, 'Specialisti - aprekini_jaunais'!B$9:B$552, 0))</f>
        <v>41570.639999999999</v>
      </c>
      <c r="E24" s="138"/>
      <c r="F24" s="138">
        <f>B24*'Darba algas UZŅEMŠANĀ_jaunais'!$BD$19-('Darba algas UZŅEMŠANĀ_jaunais'!$BD$19*'Darba algas UZŅEMŠANĀ_jaunais'!BA42)</f>
        <v>267844.36100800009</v>
      </c>
      <c r="G24" s="138">
        <f>B24*'Darba algas UZŅEMŠANĀ_jaunais'!$BE$19-('Darba algas UZŅEMŠANĀ_jaunais'!$BE$19*'Darba algas UZŅEMŠANĀ_jaunais'!BA42)</f>
        <v>20859.855996000002</v>
      </c>
      <c r="H24" s="138">
        <f>B24*'Darba algas UZŅEMŠANĀ_jaunais'!$BF$19-('Darba algas UZŅEMŠANĀ_jaunais'!$BF$19*'Darba algas UZŅEMŠANĀ_jaunais'!BA42)</f>
        <v>33242.41891600001</v>
      </c>
      <c r="I24" s="138">
        <f>INDEX('Specialisti - aprekini_jaunais'!I$9:I$552, MATCH(A24, 'Specialisti - aprekini_jaunais'!B$9:B$552, 0))</f>
        <v>1669030.7233795938</v>
      </c>
      <c r="J24" s="36"/>
      <c r="K24" s="137"/>
      <c r="L24" s="36"/>
    </row>
    <row r="25" spans="1:12" ht="14.5" x14ac:dyDescent="0.35">
      <c r="A25" s="120" t="s">
        <v>42</v>
      </c>
      <c r="B25" s="138">
        <f>INDEX('Specialisti - aprekini_jaunais'!M$9:M$553, MATCH(A25, 'Specialisti - aprekini_jaunais'!B$9:B$552, 0))</f>
        <v>1086007.1865625002</v>
      </c>
      <c r="C25" s="138">
        <f t="shared" si="0"/>
        <v>256189.09531009381</v>
      </c>
      <c r="D25" s="138">
        <f>INDEX('Specialisti - aprekini_jaunais'!N$9:N$552, MATCH(A25, 'Specialisti - aprekini_jaunais'!B$9:B$552, 0))</f>
        <v>41570.639999999999</v>
      </c>
      <c r="E25" s="138"/>
      <c r="F25" s="138">
        <f>B25*'Darba algas UZŅEMŠANĀ_jaunais'!$BD$19-('Darba algas UZŅEMŠANĀ_jaunais'!$BD$19*'Darba algas UZŅEMŠANĀ_jaunais'!BA42)</f>
        <v>276190.67789200007</v>
      </c>
      <c r="G25" s="138">
        <f>B25*'Darba algas UZŅEMŠANĀ_jaunais'!$BE$19-('Darba algas UZŅEMŠANĀ_jaunais'!$BE$19*'Darba algas UZŅEMŠANĀ_jaunais'!BA42)</f>
        <v>21509.871429000003</v>
      </c>
      <c r="H25" s="138">
        <f>B25*'Darba algas UZŅEMŠANĀ_jaunais'!$BF$19-('Darba algas UZŅEMŠANĀ_jaunais'!$BF$19*'Darba algas UZŅEMŠANĀ_jaunais'!BA42)</f>
        <v>34278.288259000008</v>
      </c>
      <c r="I25" s="138">
        <f>INDEX('Specialisti - aprekini_jaunais'!I$9:I$552, MATCH(A25, 'Specialisti - aprekini_jaunais'!B$9:B$552, 0))</f>
        <v>1715745.759452594</v>
      </c>
      <c r="J25" s="36"/>
      <c r="K25" s="137"/>
      <c r="L25" s="36"/>
    </row>
    <row r="26" spans="1:12" ht="14.5" x14ac:dyDescent="0.35">
      <c r="A26" s="120" t="s">
        <v>38</v>
      </c>
      <c r="B26" s="138">
        <f>INDEX('Specialisti - aprekini_jaunais'!M$9:M$553, MATCH(A26, 'Specialisti - aprekini_jaunais'!B$9:B$552, 0))</f>
        <v>768257.1015625</v>
      </c>
      <c r="C26" s="138">
        <f t="shared" si="0"/>
        <v>181231.85025859374</v>
      </c>
      <c r="D26" s="138">
        <f>INDEX('Specialisti - aprekini_jaunais'!N$9:N$552, MATCH(A26, 'Specialisti - aprekini_jaunais'!B$9:B$552, 0))</f>
        <v>27713.759999999998</v>
      </c>
      <c r="E26" s="138"/>
      <c r="F26" s="138">
        <f>B26*'Darba algas UZŅEMŠANĀ_jaunais'!$BD$19-('Darba algas UZŅEMŠANĀ_jaunais'!$BD$19*'Darba algas UZŅEMŠANĀ_jaunais'!BA42)</f>
        <v>186839.35399</v>
      </c>
      <c r="G26" s="138">
        <f>B26*'Darba algas UZŅEMŠANĀ_jaunais'!$BE$19-('Darba algas UZŅEMŠANĀ_jaunais'!$BE$19*'Darba algas UZŅEMŠANĀ_jaunais'!BA42)</f>
        <v>14551.1445675</v>
      </c>
      <c r="H26" s="138">
        <f>B26*'Darba algas UZŅEMŠANĀ_jaunais'!$BF$19-('Darba algas UZŅEMŠANĀ_jaunais'!$BF$19*'Darba algas UZŅEMŠANĀ_jaunais'!BA42)</f>
        <v>23188.810292500002</v>
      </c>
      <c r="I26" s="138">
        <f>INDEX('Specialisti - aprekini_jaunais'!I$9:I$552, MATCH(A26, 'Specialisti - aprekini_jaunais'!B$9:B$552, 0))</f>
        <v>1201782.0206710938</v>
      </c>
      <c r="J26" s="36"/>
      <c r="K26" s="137"/>
      <c r="L26" s="36"/>
    </row>
    <row r="27" spans="1:12" ht="14.5" x14ac:dyDescent="0.35">
      <c r="A27" s="120" t="s">
        <v>41</v>
      </c>
      <c r="B27" s="138">
        <f>INDEX('Specialisti - aprekini_jaunais'!M$9:M$553, MATCH(A27, 'Specialisti - aprekini_jaunais'!B$9:B$552, 0))</f>
        <v>768257.1015625</v>
      </c>
      <c r="C27" s="138">
        <f t="shared" si="0"/>
        <v>181231.85025859374</v>
      </c>
      <c r="D27" s="138">
        <f>INDEX('Specialisti - aprekini_jaunais'!N$9:N$552, MATCH(A27, 'Specialisti - aprekini_jaunais'!B$9:B$552, 0))</f>
        <v>27713.759999999998</v>
      </c>
      <c r="E27" s="138"/>
      <c r="F27" s="138">
        <f>B27*'Darba algas UZŅEMŠANĀ_jaunais'!$BD$19-('Darba algas UZŅEMŠANĀ_jaunais'!$BD$19*'Darba algas UZŅEMŠANĀ_jaunais'!BA42)</f>
        <v>186839.35399</v>
      </c>
      <c r="G27" s="138">
        <f>B27*'Darba algas UZŅEMŠANĀ_jaunais'!$BE$19-('Darba algas UZŅEMŠANĀ_jaunais'!$BE$19*'Darba algas UZŅEMŠANĀ_jaunais'!BA42)</f>
        <v>14551.1445675</v>
      </c>
      <c r="H27" s="138">
        <f>B27*'Darba algas UZŅEMŠANĀ_jaunais'!$BF$19-('Darba algas UZŅEMŠANĀ_jaunais'!$BF$19*'Darba algas UZŅEMŠANĀ_jaunais'!BA42)</f>
        <v>23188.810292500002</v>
      </c>
      <c r="I27" s="138">
        <f>INDEX('Specialisti - aprekini_jaunais'!I$9:I$552, MATCH(A27, 'Specialisti - aprekini_jaunais'!B$9:B$552, 0))</f>
        <v>1201782.0206710938</v>
      </c>
      <c r="J27" s="36"/>
      <c r="K27" s="137"/>
      <c r="L27" s="36"/>
    </row>
    <row r="28" spans="1:12" ht="14.5" x14ac:dyDescent="0.35">
      <c r="A28" s="120" t="s">
        <v>44</v>
      </c>
      <c r="B28" s="138">
        <f>INDEX('Specialisti - aprekini_jaunais'!M$9:M$553, MATCH(A28, 'Specialisti - aprekini_jaunais'!B$9:B$552, 0))</f>
        <v>523281.33000000007</v>
      </c>
      <c r="C28" s="138">
        <f t="shared" si="0"/>
        <v>123442.06574700002</v>
      </c>
      <c r="D28" s="138">
        <f>INDEX('Specialisti - aprekini_jaunais'!N$9:N$552, MATCH(A28, 'Specialisti - aprekini_jaunais'!B$9:B$552, 0))</f>
        <v>13856.88</v>
      </c>
      <c r="E28" s="138"/>
      <c r="F28" s="138">
        <f>B28*'Darba algas UZŅEMŠANĀ_jaunais'!$BD$19</f>
        <v>147146.70999600002</v>
      </c>
      <c r="G28" s="138">
        <f>B28*'Darba algas UZŅEMŠANĀ_jaunais'!$BE$19</f>
        <v>11459.861127000002</v>
      </c>
      <c r="H28" s="138">
        <f>B28*'Darba algas UZŅEMŠANĀ_jaunais'!$BF$19</f>
        <v>18262.518417000003</v>
      </c>
      <c r="I28" s="138">
        <f>INDEX('Specialisti - aprekini_jaunais'!I$9:I$552, MATCH(A28, 'Specialisti - aprekini_jaunais'!B$9:B$552, 0))</f>
        <v>837449.36528699996</v>
      </c>
      <c r="J28" s="36"/>
      <c r="K28" s="137"/>
      <c r="L28" s="36"/>
    </row>
    <row r="29" spans="1:12" ht="14.5" x14ac:dyDescent="0.35">
      <c r="A29" s="120" t="s">
        <v>61</v>
      </c>
      <c r="B29" s="138">
        <f>INDEX('Specialisti - aprekini_jaunais'!M$9:M$553, MATCH(A29, 'Specialisti - aprekini_jaunais'!B$9:B$552, 0))</f>
        <v>523281.33000000007</v>
      </c>
      <c r="C29" s="138">
        <f t="shared" si="0"/>
        <v>123442.06574700002</v>
      </c>
      <c r="D29" s="138">
        <f>INDEX('Specialisti - aprekini_jaunais'!N$9:N$552, MATCH(A29, 'Specialisti - aprekini_jaunais'!B$9:B$552, 0))</f>
        <v>27713.759999999998</v>
      </c>
      <c r="E29" s="138"/>
      <c r="F29" s="138">
        <f>B29*'Darba algas UZŅEMŠANĀ_jaunais'!$BD$19</f>
        <v>147146.70999600002</v>
      </c>
      <c r="G29" s="138">
        <f>B29*'Darba algas UZŅEMŠANĀ_jaunais'!$BE$19</f>
        <v>11459.861127000002</v>
      </c>
      <c r="H29" s="138">
        <f>B29*'Darba algas UZŅEMŠANĀ_jaunais'!$BF$19</f>
        <v>18262.518417000003</v>
      </c>
      <c r="I29" s="138">
        <f>INDEX('Specialisti - aprekini_jaunais'!I$9:I$552, MATCH(A29, 'Specialisti - aprekini_jaunais'!B$9:B$552, 0))</f>
        <v>837449.36528699996</v>
      </c>
      <c r="J29" s="36"/>
      <c r="K29" s="137"/>
      <c r="L29" s="36"/>
    </row>
    <row r="30" spans="1:12" ht="14.5" x14ac:dyDescent="0.35">
      <c r="A30" s="120" t="s">
        <v>59</v>
      </c>
      <c r="B30" s="138">
        <f>INDEX('Specialisti - aprekini_jaunais'!M$9:M$553, MATCH(A30, 'Specialisti - aprekini_jaunais'!B$9:B$552, 0))</f>
        <v>523281.33000000007</v>
      </c>
      <c r="C30" s="138">
        <f t="shared" si="0"/>
        <v>123442.06574700002</v>
      </c>
      <c r="D30" s="138">
        <f>INDEX('Specialisti - aprekini_jaunais'!N$9:N$552, MATCH(A30, 'Specialisti - aprekini_jaunais'!B$9:B$552, 0))</f>
        <v>13856.88</v>
      </c>
      <c r="E30" s="138"/>
      <c r="F30" s="138">
        <f>B30*'Darba algas UZŅEMŠANĀ_jaunais'!$BD$19</f>
        <v>147146.70999600002</v>
      </c>
      <c r="G30" s="138">
        <f>B30*'Darba algas UZŅEMŠANĀ_jaunais'!$BE$19</f>
        <v>11459.861127000002</v>
      </c>
      <c r="H30" s="138">
        <f>B30*'Darba algas UZŅEMŠANĀ_jaunais'!$BF$19</f>
        <v>18262.518417000003</v>
      </c>
      <c r="I30" s="138">
        <f>INDEX('Specialisti - aprekini_jaunais'!I$9:I$552, MATCH(A30, 'Specialisti - aprekini_jaunais'!B$9:B$552, 0))</f>
        <v>837449.36528699996</v>
      </c>
      <c r="J30" s="36"/>
      <c r="K30" s="137"/>
      <c r="L30" s="36"/>
    </row>
    <row r="31" spans="1:12" ht="14.5" x14ac:dyDescent="0.35">
      <c r="A31" s="120" t="s">
        <v>51</v>
      </c>
      <c r="B31" s="138">
        <f>INDEX('Specialisti - aprekini_jaunais'!M$9:M$553, MATCH(A31, 'Specialisti - aprekini_jaunais'!B$9:B$552, 0))</f>
        <v>523281.33000000007</v>
      </c>
      <c r="C31" s="138">
        <f t="shared" si="0"/>
        <v>123442.06574700002</v>
      </c>
      <c r="D31" s="138">
        <f>INDEX('Specialisti - aprekini_jaunais'!N$9:N$552, MATCH(A31, 'Specialisti - aprekini_jaunais'!B$9:B$552, 0))</f>
        <v>13856.88</v>
      </c>
      <c r="E31" s="138"/>
      <c r="F31" s="138">
        <f>B31*'Darba algas UZŅEMŠANĀ_jaunais'!$BD$19</f>
        <v>147146.70999600002</v>
      </c>
      <c r="G31" s="138">
        <f>B31*'Darba algas UZŅEMŠANĀ_jaunais'!$BE$19</f>
        <v>11459.861127000002</v>
      </c>
      <c r="H31" s="138">
        <f>B31*'Darba algas UZŅEMŠANĀ_jaunais'!$BF$19</f>
        <v>18262.518417000003</v>
      </c>
      <c r="I31" s="138">
        <f>INDEX('Specialisti - aprekini_jaunais'!I$9:I$552, MATCH(A31, 'Specialisti - aprekini_jaunais'!B$9:B$552, 0))</f>
        <v>837449.36528699996</v>
      </c>
      <c r="J31" s="36"/>
      <c r="K31" s="137"/>
      <c r="L31" s="36"/>
    </row>
    <row r="32" spans="1:12" ht="14.5" x14ac:dyDescent="0.35">
      <c r="A32" s="120" t="s">
        <v>45</v>
      </c>
      <c r="B32" s="138">
        <f>INDEX('Specialisti - aprekini_jaunais'!M$9:M$553, MATCH(A32, 'Specialisti - aprekini_jaunais'!B$9:B$552, 0))</f>
        <v>523281.33000000007</v>
      </c>
      <c r="C32" s="138">
        <f t="shared" si="0"/>
        <v>123442.06574700002</v>
      </c>
      <c r="D32" s="138">
        <f>INDEX('Specialisti - aprekini_jaunais'!N$9:N$552, MATCH(A32, 'Specialisti - aprekini_jaunais'!B$9:B$552, 0))</f>
        <v>13856.88</v>
      </c>
      <c r="E32" s="138"/>
      <c r="F32" s="138">
        <f>B32*'Darba algas UZŅEMŠANĀ_jaunais'!$BD$19</f>
        <v>147146.70999600002</v>
      </c>
      <c r="G32" s="138">
        <f>B32*'Darba algas UZŅEMŠANĀ_jaunais'!$BE$19</f>
        <v>11459.861127000002</v>
      </c>
      <c r="H32" s="138">
        <f>B32*'Darba algas UZŅEMŠANĀ_jaunais'!$BF$19</f>
        <v>18262.518417000003</v>
      </c>
      <c r="I32" s="138">
        <f>INDEX('Specialisti - aprekini_jaunais'!I$9:I$552, MATCH(A32, 'Specialisti - aprekini_jaunais'!B$9:B$552, 0))</f>
        <v>837449.36528699996</v>
      </c>
      <c r="J32" s="36"/>
      <c r="K32" s="137"/>
      <c r="L32" s="36"/>
    </row>
    <row r="33" spans="1:12" ht="14.5" x14ac:dyDescent="0.35">
      <c r="A33" s="120" t="s">
        <v>79</v>
      </c>
      <c r="B33" s="138">
        <f>INDEX('Specialisti - aprekini_jaunais'!M$9:M$553, MATCH(A33, 'Specialisti - aprekini_jaunais'!B$9:B$552, 0))</f>
        <v>3778427.3170000007</v>
      </c>
      <c r="C33" s="138">
        <f t="shared" si="0"/>
        <v>891331.00408030022</v>
      </c>
      <c r="D33" s="138">
        <f>INDEX('Specialisti - aprekini_jaunais'!N$9:N$552, MATCH(A33, 'Specialisti - aprekini_jaunais'!B$9:B$552, 0))</f>
        <v>110855.03999999999</v>
      </c>
      <c r="E33" s="138"/>
      <c r="F33" s="138">
        <f>B33*'Darba algas UZŅEMŠANĀ_jaunais'!$BD$19</f>
        <v>1062493.7615404003</v>
      </c>
      <c r="G33" s="138">
        <f>B33*'Darba algas UZŅEMŠANĀ_jaunais'!$BE$19</f>
        <v>82747.558242300016</v>
      </c>
      <c r="H33" s="138">
        <f>B33*'Darba algas UZŅEMŠANĀ_jaunais'!$BF$19</f>
        <v>131867.11336330001</v>
      </c>
      <c r="I33" s="138">
        <f>INDEX('Specialisti - aprekini_jaunais'!I$9:I$552, MATCH(A33, 'Specialisti - aprekini_jaunais'!B$9:B$552, 0))</f>
        <v>6057723</v>
      </c>
      <c r="J33" s="36"/>
      <c r="L33" s="36"/>
    </row>
    <row r="34" spans="1:12" ht="14.5" x14ac:dyDescent="0.35">
      <c r="A34" s="375" t="s">
        <v>78</v>
      </c>
      <c r="B34" s="138">
        <f>INDEX('Specialisti - aprekini_jaunais'!M$9:M$553, MATCH(A34, 'Specialisti - aprekini_jaunais'!B$9:B$552, 0))</f>
        <v>1185501.2395000001</v>
      </c>
      <c r="C34" s="138">
        <f t="shared" si="0"/>
        <v>279659.74239805003</v>
      </c>
      <c r="D34" s="138">
        <f>INDEX('Specialisti - aprekini_jaunais'!N$9:N$552, MATCH(A34, 'Specialisti - aprekini_jaunais'!B$9:B$552, 0))</f>
        <v>41570.639999999999</v>
      </c>
      <c r="E34" s="138"/>
      <c r="F34" s="138">
        <f>B34*'Darba algas UZŅEMŠANĀ_jaunais'!$BD$19</f>
        <v>333362.94854740007</v>
      </c>
      <c r="G34" s="138">
        <f>B34*'Darba algas UZŅEMŠANĀ_jaunais'!$BE$19</f>
        <v>25962.477145050001</v>
      </c>
      <c r="H34" s="138">
        <f>B34*'Darba algas UZŅEMŠANĀ_jaunais'!$BF$19</f>
        <v>41373.993258550006</v>
      </c>
      <c r="I34" s="138">
        <f>INDEX('Specialisti - aprekini_jaunais'!I$9:I$552, MATCH(A34, 'Specialisti - aprekini_jaunais'!B$9:B$552, 0))</f>
        <v>1907431</v>
      </c>
      <c r="J34" s="36"/>
      <c r="L34" s="36"/>
    </row>
    <row r="35" spans="1:12" ht="14.5" x14ac:dyDescent="0.35">
      <c r="A35" s="375" t="s">
        <v>313</v>
      </c>
      <c r="B35" s="138">
        <v>248871</v>
      </c>
      <c r="C35" s="138">
        <v>58709</v>
      </c>
      <c r="D35" s="138">
        <v>7854</v>
      </c>
      <c r="E35" s="138">
        <v>122</v>
      </c>
      <c r="F35" s="138">
        <v>7822</v>
      </c>
      <c r="G35" s="138">
        <v>874</v>
      </c>
      <c r="H35" s="138">
        <v>1441</v>
      </c>
      <c r="I35" s="138">
        <v>325693</v>
      </c>
      <c r="J35" s="36"/>
      <c r="L35" s="36"/>
    </row>
    <row r="36" spans="1:12" ht="14.5" x14ac:dyDescent="0.35">
      <c r="A36" s="376" t="s">
        <v>312</v>
      </c>
      <c r="B36" s="138">
        <v>497742</v>
      </c>
      <c r="C36" s="138">
        <v>117417</v>
      </c>
      <c r="D36" s="138">
        <v>710</v>
      </c>
      <c r="E36" s="138">
        <v>249</v>
      </c>
      <c r="F36" s="138">
        <v>15644</v>
      </c>
      <c r="G36" s="138">
        <v>1748</v>
      </c>
      <c r="H36" s="138">
        <v>2882</v>
      </c>
      <c r="I36" s="138">
        <v>636392</v>
      </c>
      <c r="J36" s="36"/>
      <c r="L36" s="36"/>
    </row>
    <row r="37" spans="1:12" ht="14.5" x14ac:dyDescent="0.35">
      <c r="A37" s="375" t="s">
        <v>200</v>
      </c>
      <c r="B37" s="138">
        <f>INDEX('Specialisti - aprekini_jaunais'!M$9:M$553, MATCH(A37, 'Specialisti - aprekini_jaunais'!B$9:B$552, 0))</f>
        <v>805590.32000000007</v>
      </c>
      <c r="C37" s="138">
        <f t="shared" si="0"/>
        <v>190038.75648800001</v>
      </c>
      <c r="D37" s="138">
        <f>INDEX('Specialisti - aprekini_jaunais'!N$9:N$552, MATCH(A37, 'Specialisti - aprekini_jaunais'!B$9:B$552, 0))</f>
        <v>41570.639999999999</v>
      </c>
      <c r="E37" s="138"/>
      <c r="F37" s="138">
        <f>B37*'Darba algas UZŅEMŠANĀ_jaunais'!$BD$19</f>
        <v>226531.99798400002</v>
      </c>
      <c r="G37" s="138">
        <f>B37*'Darba algas UZŅEMŠANĀ_jaunais'!$BE$19</f>
        <v>17642.428008000003</v>
      </c>
      <c r="H37" s="138">
        <f>B37*'Darba algas UZŅEMŠANĀ_jaunais'!$BF$19</f>
        <v>28115.102168000001</v>
      </c>
      <c r="I37" s="138">
        <f>INDEX('Specialisti - aprekini_jaunais'!I$9:I$552, MATCH(A37, 'Specialisti - aprekini_jaunais'!B$9:B$552, 0))</f>
        <v>1309489.2446480002</v>
      </c>
      <c r="J37" s="36"/>
      <c r="L37" s="36"/>
    </row>
    <row r="38" spans="1:12" ht="14.5" x14ac:dyDescent="0.35">
      <c r="A38" s="375" t="s">
        <v>311</v>
      </c>
      <c r="B38" s="138">
        <v>248871</v>
      </c>
      <c r="C38" s="138">
        <v>58709</v>
      </c>
      <c r="D38" s="138">
        <v>330</v>
      </c>
      <c r="E38" s="138">
        <v>230</v>
      </c>
      <c r="F38" s="138">
        <v>7822</v>
      </c>
      <c r="G38" s="138">
        <v>874</v>
      </c>
      <c r="H38" s="138">
        <v>1441</v>
      </c>
      <c r="I38" s="138">
        <v>318277</v>
      </c>
      <c r="J38" s="36"/>
      <c r="L38" s="36"/>
    </row>
    <row r="39" spans="1:12" ht="14.5" x14ac:dyDescent="0.35">
      <c r="A39" s="376" t="s">
        <v>310</v>
      </c>
      <c r="B39" s="138">
        <v>248871</v>
      </c>
      <c r="C39" s="138">
        <v>58709</v>
      </c>
      <c r="D39" s="138">
        <v>330</v>
      </c>
      <c r="E39" s="138">
        <v>139</v>
      </c>
      <c r="F39" s="138">
        <v>7822</v>
      </c>
      <c r="G39" s="138">
        <v>874</v>
      </c>
      <c r="H39" s="138">
        <v>1441</v>
      </c>
      <c r="I39" s="138">
        <v>318186</v>
      </c>
      <c r="J39" s="36"/>
      <c r="L39" s="36"/>
    </row>
    <row r="40" spans="1:12" ht="14.5" x14ac:dyDescent="0.35">
      <c r="A40" s="377" t="s">
        <v>309</v>
      </c>
      <c r="B40" s="138">
        <v>248871</v>
      </c>
      <c r="C40" s="138">
        <v>58709</v>
      </c>
      <c r="D40" s="138">
        <v>330</v>
      </c>
      <c r="E40" s="138">
        <v>59</v>
      </c>
      <c r="F40" s="138">
        <v>7822</v>
      </c>
      <c r="G40" s="138">
        <v>874</v>
      </c>
      <c r="H40" s="138">
        <v>1441</v>
      </c>
      <c r="I40" s="138">
        <v>318106</v>
      </c>
      <c r="J40" s="36"/>
      <c r="L40" s="36"/>
    </row>
    <row r="41" spans="1:12" ht="14.5" x14ac:dyDescent="0.35">
      <c r="A41" s="378" t="s">
        <v>308</v>
      </c>
      <c r="B41" s="138">
        <v>248871</v>
      </c>
      <c r="C41" s="138">
        <v>58709</v>
      </c>
      <c r="D41" s="138">
        <v>330</v>
      </c>
      <c r="E41" s="138">
        <v>0</v>
      </c>
      <c r="F41" s="138">
        <v>7822</v>
      </c>
      <c r="G41" s="138">
        <v>874</v>
      </c>
      <c r="H41" s="138">
        <v>1441</v>
      </c>
      <c r="I41" s="138">
        <v>318047</v>
      </c>
      <c r="J41" s="36"/>
      <c r="L41" s="36"/>
    </row>
    <row r="42" spans="1:12" ht="14.5" x14ac:dyDescent="0.35">
      <c r="A42" s="119" t="s">
        <v>28</v>
      </c>
      <c r="B42" s="138">
        <f>INDEX('Specialisti - aprekini_jaunais'!M$9:M$553, MATCH(A42, 'Specialisti - aprekini_jaunais'!B$9:B$552, 0))</f>
        <v>797938.17156250018</v>
      </c>
      <c r="C42" s="138">
        <f t="shared" si="0"/>
        <v>188233.61467159379</v>
      </c>
      <c r="D42" s="138">
        <f>INDEX('Specialisti - aprekini_jaunais'!N$9:N$552, MATCH(A42, 'Specialisti - aprekini_jaunais'!B$9:B$552, 0))</f>
        <v>27713.759999999998</v>
      </c>
      <c r="E42" s="138"/>
      <c r="F42" s="138">
        <f>B42*'Darba algas UZŅEMŠANĀ_jaunais'!$BD$19-('Darba algas UZŅEMŠANĀ_jaunais'!$BD$19*'Darba algas UZŅEMŠANĀ_jaunais'!BA42)</f>
        <v>195185.67087400006</v>
      </c>
      <c r="G42" s="138">
        <f>B42*'Darba algas UZŅEMŠANĀ_jaunais'!$BE$19-('Darba algas UZŅEMŠANĀ_jaunais'!$BE$19*'Darba algas UZŅEMŠANĀ_jaunais'!BA42)</f>
        <v>15201.160000500004</v>
      </c>
      <c r="H42" s="138">
        <f>B42*'Darba algas UZŅEMŠANĀ_jaunais'!$BF$19-('Darba algas UZŅEMŠANĀ_jaunais'!$BF$19*'Darba algas UZŅEMŠANĀ_jaunais'!BA42)</f>
        <v>24224.679635500008</v>
      </c>
      <c r="I42" s="138">
        <f>INDEX('Specialisti - aprekini_jaunais'!I$9:I$552, MATCH(A42, 'Specialisti - aprekini_jaunais'!B$9:B$552, 0))</f>
        <v>1248497.0567440938</v>
      </c>
      <c r="J42" s="36"/>
      <c r="K42" s="137"/>
      <c r="L42" s="36"/>
    </row>
    <row r="43" spans="1:12" ht="14" x14ac:dyDescent="0.3">
      <c r="A43" s="118"/>
      <c r="B43" s="118"/>
      <c r="C43" s="118"/>
      <c r="D43" s="118"/>
      <c r="E43" s="118"/>
      <c r="F43" s="118"/>
      <c r="G43" s="118"/>
      <c r="H43" s="118"/>
      <c r="I43" s="118"/>
    </row>
    <row r="44" spans="1:12" ht="14" x14ac:dyDescent="0.3">
      <c r="A44" s="118" t="s">
        <v>318</v>
      </c>
      <c r="B44" s="118"/>
      <c r="C44" s="118"/>
      <c r="D44" s="118"/>
      <c r="E44" s="118"/>
      <c r="F44" s="118"/>
      <c r="G44" s="118"/>
      <c r="H44" s="118"/>
      <c r="I44" s="118"/>
    </row>
    <row r="45" spans="1:12" ht="14" x14ac:dyDescent="0.3">
      <c r="A45" s="118"/>
      <c r="B45" s="118"/>
      <c r="C45" s="118"/>
      <c r="D45" s="118"/>
      <c r="E45" s="118"/>
      <c r="F45" s="118"/>
      <c r="G45" s="118"/>
      <c r="H45" s="118"/>
      <c r="I45" s="118"/>
    </row>
    <row r="46" spans="1:12" ht="14" x14ac:dyDescent="0.3">
      <c r="A46" s="118"/>
      <c r="B46" s="118"/>
      <c r="C46" s="118"/>
      <c r="D46" s="118"/>
      <c r="E46" s="118"/>
      <c r="F46" s="118"/>
      <c r="G46" s="118"/>
      <c r="H46" s="118"/>
      <c r="I46" s="118"/>
    </row>
    <row r="47" spans="1:12" ht="14" x14ac:dyDescent="0.3">
      <c r="A47" s="118"/>
      <c r="B47" s="118"/>
      <c r="C47" s="118"/>
      <c r="D47" s="118"/>
      <c r="E47" s="118"/>
      <c r="F47" s="118"/>
      <c r="G47" s="118"/>
      <c r="H47" s="118"/>
      <c r="I47" s="118"/>
    </row>
    <row r="48" spans="1:12" ht="14" x14ac:dyDescent="0.3">
      <c r="A48" s="118"/>
      <c r="B48" s="118"/>
      <c r="C48" s="118"/>
      <c r="D48" s="118"/>
      <c r="E48" s="118"/>
      <c r="F48" s="118"/>
      <c r="G48" s="118"/>
      <c r="H48" s="118"/>
      <c r="I48" s="118"/>
    </row>
    <row r="49" spans="1:9" ht="14" x14ac:dyDescent="0.3">
      <c r="A49" s="118"/>
      <c r="B49" s="118"/>
      <c r="C49" s="118"/>
      <c r="D49" s="118"/>
      <c r="E49" s="118"/>
      <c r="F49" s="118"/>
      <c r="G49" s="118"/>
      <c r="H49" s="118"/>
      <c r="I49" s="118"/>
    </row>
    <row r="50" spans="1:9" ht="14" x14ac:dyDescent="0.3">
      <c r="A50" s="118"/>
      <c r="B50" s="118"/>
      <c r="C50" s="118"/>
      <c r="D50" s="118"/>
      <c r="E50" s="118"/>
      <c r="F50" s="118"/>
      <c r="G50" s="118"/>
      <c r="H50" s="118"/>
      <c r="I50" s="118"/>
    </row>
    <row r="51" spans="1:9" ht="14" x14ac:dyDescent="0.3">
      <c r="A51" s="118"/>
      <c r="B51" s="118"/>
      <c r="C51" s="118"/>
      <c r="D51" s="118"/>
      <c r="E51" s="118"/>
      <c r="F51" s="118"/>
      <c r="G51" s="118"/>
      <c r="H51" s="118"/>
      <c r="I51" s="118"/>
    </row>
    <row r="52" spans="1:9" ht="14" x14ac:dyDescent="0.3">
      <c r="A52" s="118"/>
      <c r="B52" s="118"/>
      <c r="C52" s="118"/>
      <c r="D52" s="118"/>
      <c r="E52" s="118"/>
      <c r="F52" s="118"/>
      <c r="G52" s="118"/>
      <c r="H52" s="118"/>
      <c r="I52" s="118"/>
    </row>
    <row r="53" spans="1:9" ht="14" x14ac:dyDescent="0.3">
      <c r="A53" s="118"/>
      <c r="B53" s="118"/>
      <c r="C53" s="118"/>
      <c r="D53" s="118"/>
      <c r="E53" s="118"/>
      <c r="F53" s="118"/>
      <c r="G53" s="118"/>
      <c r="H53" s="118"/>
      <c r="I53" s="118"/>
    </row>
    <row r="54" spans="1:9" ht="14" x14ac:dyDescent="0.3">
      <c r="A54" s="118"/>
      <c r="B54" s="118"/>
      <c r="C54" s="118"/>
      <c r="D54" s="118"/>
      <c r="E54" s="118"/>
      <c r="F54" s="118"/>
      <c r="G54" s="118"/>
      <c r="H54" s="118"/>
      <c r="I54" s="118"/>
    </row>
    <row r="55" spans="1:9" ht="14" x14ac:dyDescent="0.3">
      <c r="A55" s="118"/>
      <c r="B55" s="118"/>
      <c r="C55" s="118"/>
      <c r="D55" s="118"/>
      <c r="E55" s="118"/>
      <c r="F55" s="118"/>
      <c r="G55" s="118"/>
      <c r="H55" s="118"/>
      <c r="I55" s="118"/>
    </row>
    <row r="56" spans="1:9" ht="14" x14ac:dyDescent="0.3">
      <c r="A56" s="118"/>
      <c r="B56" s="118"/>
      <c r="C56" s="118"/>
      <c r="D56" s="118"/>
      <c r="E56" s="118"/>
      <c r="F56" s="118"/>
      <c r="G56" s="118"/>
      <c r="H56" s="118"/>
      <c r="I56" s="118"/>
    </row>
    <row r="57" spans="1:9" ht="14" x14ac:dyDescent="0.3">
      <c r="A57" s="118"/>
      <c r="B57" s="118"/>
      <c r="C57" s="118"/>
      <c r="D57" s="118"/>
      <c r="E57" s="118"/>
      <c r="F57" s="118"/>
      <c r="G57" s="118"/>
      <c r="H57" s="118"/>
      <c r="I57" s="118"/>
    </row>
    <row r="58" spans="1:9" ht="14" x14ac:dyDescent="0.3">
      <c r="A58" s="118"/>
      <c r="B58" s="118"/>
      <c r="C58" s="118"/>
      <c r="D58" s="118"/>
      <c r="E58" s="118"/>
      <c r="F58" s="118"/>
      <c r="G58" s="118"/>
      <c r="H58" s="118"/>
      <c r="I58" s="118"/>
    </row>
  </sheetData>
  <mergeCells count="1">
    <mergeCell ref="A3:I3"/>
  </mergeCells>
  <pageMargins left="0.7" right="0.7" top="0.75" bottom="0.75" header="0.3" footer="0.3"/>
  <pageSetup paperSize="9" scale="47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4B57A-1987-4B85-BC83-40E8BD5EB87F}">
  <sheetPr>
    <tabColor theme="2" tint="-0.249977111117893"/>
  </sheetPr>
  <dimension ref="A1:AD313"/>
  <sheetViews>
    <sheetView view="pageBreakPreview" zoomScale="60" zoomScaleNormal="100" workbookViewId="0">
      <pane xSplit="1" ySplit="12" topLeftCell="B13" activePane="bottomRight" state="frozen"/>
      <selection activeCell="Z70" sqref="Z70"/>
      <selection pane="topRight" activeCell="Z70" sqref="Z70"/>
      <selection pane="bottomLeft" activeCell="Z70" sqref="Z70"/>
      <selection pane="bottomRight" activeCell="R1" sqref="R1"/>
    </sheetView>
  </sheetViews>
  <sheetFormatPr defaultColWidth="9.1796875" defaultRowHeight="14" x14ac:dyDescent="0.3"/>
  <cols>
    <col min="1" max="1" width="30.54296875" style="31" customWidth="1"/>
    <col min="2" max="2" width="13.453125" style="31" customWidth="1"/>
    <col min="3" max="3" width="15.54296875" style="31" customWidth="1"/>
    <col min="4" max="4" width="12.81640625" style="31" customWidth="1"/>
    <col min="5" max="5" width="15.54296875" style="30" customWidth="1"/>
    <col min="6" max="7" width="12.81640625" style="30" customWidth="1"/>
    <col min="8" max="8" width="17.453125" style="30" customWidth="1"/>
    <col min="9" max="9" width="12.453125" style="31" customWidth="1"/>
    <col min="10" max="10" width="16.54296875" style="31" customWidth="1"/>
    <col min="11" max="11" width="16.453125" style="31" customWidth="1"/>
    <col min="12" max="12" width="13.54296875" style="31" customWidth="1"/>
    <col min="13" max="13" width="16" style="31" customWidth="1"/>
    <col min="14" max="14" width="13.453125" style="31" customWidth="1"/>
    <col min="15" max="15" width="17.453125" style="31" customWidth="1"/>
    <col min="16" max="17" width="15.1796875" style="31" customWidth="1"/>
    <col min="18" max="18" width="15.1796875" style="32" customWidth="1"/>
    <col min="19" max="19" width="15.26953125" style="34" hidden="1" customWidth="1"/>
    <col min="20" max="20" width="12.1796875" style="35" hidden="1" customWidth="1"/>
    <col min="21" max="21" width="10.26953125" style="35" hidden="1" customWidth="1"/>
    <col min="22" max="22" width="10.54296875" style="35" hidden="1" customWidth="1"/>
    <col min="23" max="23" width="10.1796875" style="35" hidden="1" customWidth="1"/>
    <col min="24" max="24" width="17.1796875" style="34" customWidth="1"/>
    <col min="25" max="25" width="9.1796875" style="34"/>
    <col min="26" max="26" width="20.1796875" style="34" customWidth="1"/>
    <col min="27" max="27" width="15.26953125" style="34" customWidth="1"/>
    <col min="28" max="28" width="14.1796875" style="34" customWidth="1"/>
    <col min="29" max="30" width="9.1796875" style="34"/>
    <col min="31" max="16384" width="9.1796875" style="31"/>
  </cols>
  <sheetData>
    <row r="1" spans="1:30" x14ac:dyDescent="0.3">
      <c r="R1" s="32" t="s">
        <v>325</v>
      </c>
    </row>
    <row r="2" spans="1:30" ht="35.25" customHeight="1" x14ac:dyDescent="0.45">
      <c r="A2" s="117" t="s">
        <v>307</v>
      </c>
      <c r="B2" s="36"/>
      <c r="C2" s="36"/>
      <c r="D2" s="36"/>
      <c r="E2" s="36"/>
      <c r="F2" s="36"/>
      <c r="G2" s="36"/>
      <c r="H2" s="36"/>
      <c r="I2" s="36"/>
      <c r="J2" s="36"/>
      <c r="K2" s="30"/>
      <c r="L2" s="34"/>
      <c r="M2" s="34"/>
      <c r="N2" s="34"/>
      <c r="O2" s="34"/>
    </row>
    <row r="3" spans="1:30" ht="34.5" x14ac:dyDescent="0.3">
      <c r="A3" s="116" t="s">
        <v>306</v>
      </c>
      <c r="B3" s="101" t="s">
        <v>305</v>
      </c>
      <c r="C3" s="101" t="s">
        <v>190</v>
      </c>
      <c r="D3" s="101" t="s">
        <v>191</v>
      </c>
      <c r="E3" s="101" t="s">
        <v>192</v>
      </c>
      <c r="F3" s="401" t="s">
        <v>304</v>
      </c>
      <c r="G3" s="31" t="s">
        <v>303</v>
      </c>
      <c r="L3" s="34"/>
      <c r="M3" s="36"/>
      <c r="N3" s="34"/>
      <c r="O3" s="34"/>
    </row>
    <row r="4" spans="1:30" x14ac:dyDescent="0.3">
      <c r="A4" s="115"/>
      <c r="B4" s="50" t="s">
        <v>196</v>
      </c>
      <c r="C4" s="50" t="s">
        <v>137</v>
      </c>
      <c r="D4" s="50" t="s">
        <v>138</v>
      </c>
      <c r="E4" s="50" t="s">
        <v>198</v>
      </c>
      <c r="F4" s="401"/>
      <c r="G4" s="53">
        <f>H4+I4</f>
        <v>4.5</v>
      </c>
      <c r="H4" s="42">
        <v>3</v>
      </c>
      <c r="I4" s="53">
        <v>1.5</v>
      </c>
      <c r="L4" s="34"/>
      <c r="M4" s="36"/>
      <c r="N4" s="34"/>
      <c r="O4" s="34"/>
    </row>
    <row r="5" spans="1:30" x14ac:dyDescent="0.3">
      <c r="A5" s="111" t="s">
        <v>302</v>
      </c>
      <c r="B5" s="110">
        <v>7854</v>
      </c>
      <c r="C5" s="110">
        <v>7822</v>
      </c>
      <c r="D5" s="110">
        <v>874</v>
      </c>
      <c r="E5" s="110">
        <v>1441</v>
      </c>
      <c r="F5" s="110">
        <f>SUM(B5:E5)</f>
        <v>17991</v>
      </c>
      <c r="G5" s="31"/>
      <c r="H5" s="113"/>
      <c r="I5" s="113"/>
      <c r="J5" s="113"/>
      <c r="K5" s="113"/>
      <c r="L5" s="108"/>
      <c r="M5" s="36"/>
      <c r="N5" s="34"/>
      <c r="O5" s="36"/>
    </row>
    <row r="6" spans="1:30" ht="15" x14ac:dyDescent="0.3">
      <c r="A6" s="111" t="s">
        <v>301</v>
      </c>
      <c r="B6" s="110">
        <v>1265</v>
      </c>
      <c r="C6" s="110">
        <v>7822</v>
      </c>
      <c r="D6" s="110">
        <v>874</v>
      </c>
      <c r="E6" s="110">
        <v>1441</v>
      </c>
      <c r="F6" s="110">
        <f>SUM(B6:E6)</f>
        <v>11402</v>
      </c>
      <c r="G6" s="114" t="s">
        <v>300</v>
      </c>
      <c r="H6" s="113"/>
      <c r="I6" s="113"/>
      <c r="J6" s="113"/>
      <c r="L6" s="108"/>
      <c r="M6" s="36"/>
      <c r="N6" s="34"/>
      <c r="O6" s="36"/>
    </row>
    <row r="7" spans="1:30" ht="28" x14ac:dyDescent="0.3">
      <c r="A7" s="111" t="s">
        <v>299</v>
      </c>
      <c r="B7" s="110">
        <v>380</v>
      </c>
      <c r="C7" s="110">
        <v>7822</v>
      </c>
      <c r="D7" s="110">
        <v>874</v>
      </c>
      <c r="E7" s="110">
        <v>1441</v>
      </c>
      <c r="F7" s="110">
        <f>SUM(B7:E7)</f>
        <v>10517</v>
      </c>
      <c r="G7" s="42" t="s">
        <v>127</v>
      </c>
      <c r="H7" s="112" t="s">
        <v>298</v>
      </c>
      <c r="I7" s="112" t="s">
        <v>297</v>
      </c>
      <c r="J7" s="112" t="s">
        <v>296</v>
      </c>
      <c r="L7" s="108"/>
      <c r="M7" s="36"/>
      <c r="N7" s="34"/>
      <c r="O7" s="36"/>
    </row>
    <row r="8" spans="1:30" x14ac:dyDescent="0.3">
      <c r="A8" s="111" t="s">
        <v>295</v>
      </c>
      <c r="B8" s="110">
        <v>330</v>
      </c>
      <c r="C8" s="110">
        <v>7822</v>
      </c>
      <c r="D8" s="110">
        <v>874</v>
      </c>
      <c r="E8" s="110">
        <v>1441</v>
      </c>
      <c r="F8" s="110">
        <f>SUM(B8:E8)</f>
        <v>10467</v>
      </c>
      <c r="G8" s="42">
        <f>H8+I8</f>
        <v>4.75</v>
      </c>
      <c r="H8" s="42">
        <v>3.17</v>
      </c>
      <c r="I8" s="42">
        <v>1.58</v>
      </c>
      <c r="J8" s="53"/>
      <c r="L8" s="108"/>
      <c r="M8" s="36"/>
      <c r="N8" s="34"/>
      <c r="O8" s="36"/>
    </row>
    <row r="9" spans="1:30" x14ac:dyDescent="0.3">
      <c r="A9" s="111" t="s">
        <v>294</v>
      </c>
      <c r="B9" s="110">
        <v>760</v>
      </c>
      <c r="C9" s="110">
        <v>7822</v>
      </c>
      <c r="D9" s="110">
        <v>874</v>
      </c>
      <c r="E9" s="110">
        <v>1441</v>
      </c>
      <c r="F9" s="110">
        <f>SUM(B9:E9)</f>
        <v>10897</v>
      </c>
      <c r="G9" s="42" t="s">
        <v>293</v>
      </c>
      <c r="H9" s="42"/>
      <c r="I9" s="42">
        <v>0.75</v>
      </c>
      <c r="J9" s="42">
        <v>0.19</v>
      </c>
      <c r="K9" s="109">
        <v>0.2359</v>
      </c>
      <c r="L9" s="108"/>
    </row>
    <row r="10" spans="1:30" x14ac:dyDescent="0.3">
      <c r="D10" s="30"/>
      <c r="F10" s="31"/>
      <c r="G10" s="31"/>
      <c r="H10" s="31"/>
    </row>
    <row r="11" spans="1:30" ht="15" x14ac:dyDescent="0.3">
      <c r="B11" s="107"/>
      <c r="C11" s="107"/>
      <c r="D11" s="106"/>
      <c r="E11" s="106"/>
      <c r="F11" s="402" t="s">
        <v>292</v>
      </c>
      <c r="G11" s="402"/>
      <c r="H11" s="402"/>
      <c r="I11" s="402"/>
      <c r="J11" s="402"/>
      <c r="K11" s="402"/>
      <c r="L11" s="36"/>
      <c r="M11" s="36"/>
      <c r="N11" s="36"/>
      <c r="O11" s="36"/>
      <c r="P11" s="36"/>
      <c r="Q11" s="36"/>
      <c r="R11" s="35"/>
      <c r="T11" s="403" t="s">
        <v>291</v>
      </c>
      <c r="U11" s="404"/>
      <c r="V11" s="404"/>
      <c r="W11" s="405"/>
    </row>
    <row r="12" spans="1:30" s="95" customFormat="1" ht="84" x14ac:dyDescent="0.25">
      <c r="A12" s="105" t="s">
        <v>194</v>
      </c>
      <c r="B12" s="97" t="s">
        <v>290</v>
      </c>
      <c r="C12" s="79" t="s">
        <v>289</v>
      </c>
      <c r="D12" s="97" t="s">
        <v>288</v>
      </c>
      <c r="E12" s="97" t="s">
        <v>287</v>
      </c>
      <c r="F12" s="96" t="s">
        <v>286</v>
      </c>
      <c r="G12" s="96" t="s">
        <v>285</v>
      </c>
      <c r="H12" s="97" t="s">
        <v>284</v>
      </c>
      <c r="I12" s="96" t="s">
        <v>283</v>
      </c>
      <c r="J12" s="96" t="s">
        <v>282</v>
      </c>
      <c r="K12" s="104" t="s">
        <v>281</v>
      </c>
      <c r="L12" s="103" t="s">
        <v>280</v>
      </c>
      <c r="M12" s="102" t="s">
        <v>279</v>
      </c>
      <c r="N12" s="101" t="s">
        <v>278</v>
      </c>
      <c r="O12" s="100" t="s">
        <v>191</v>
      </c>
      <c r="P12" s="101" t="s">
        <v>192</v>
      </c>
      <c r="Q12" s="100" t="s">
        <v>146</v>
      </c>
      <c r="R12" s="99" t="s">
        <v>199</v>
      </c>
      <c r="S12" s="34"/>
      <c r="T12" s="98" t="s">
        <v>277</v>
      </c>
      <c r="U12" s="98" t="s">
        <v>276</v>
      </c>
      <c r="V12" s="98" t="s">
        <v>137</v>
      </c>
      <c r="W12" s="98" t="s">
        <v>193</v>
      </c>
      <c r="X12" s="34"/>
      <c r="Y12" s="34"/>
      <c r="Z12" s="34"/>
      <c r="AA12" s="34"/>
      <c r="AB12" s="34"/>
      <c r="AC12" s="34"/>
      <c r="AD12" s="34"/>
    </row>
    <row r="13" spans="1:30" s="95" customFormat="1" x14ac:dyDescent="0.3">
      <c r="A13" s="62" t="s">
        <v>275</v>
      </c>
      <c r="B13" s="97"/>
      <c r="C13" s="79"/>
      <c r="D13" s="97"/>
      <c r="F13" s="96"/>
      <c r="G13" s="96"/>
      <c r="H13" s="97"/>
      <c r="I13" s="96"/>
      <c r="J13" s="71">
        <f>ROUND(SUM(J14:J28),0)</f>
        <v>5475162</v>
      </c>
      <c r="K13" s="71">
        <f>ROUND(SUM(K14:K28),0)</f>
        <v>1291591</v>
      </c>
      <c r="L13" s="71">
        <f>ROUND(SUM(L14:L28),0)</f>
        <v>139843</v>
      </c>
      <c r="M13" s="71">
        <v>11844</v>
      </c>
      <c r="N13" s="71">
        <f>ROUND(SUM(N14:N28),0)</f>
        <v>172084</v>
      </c>
      <c r="O13" s="71">
        <f>ROUND(SUM(O14:O28),0)</f>
        <v>19228</v>
      </c>
      <c r="P13" s="71">
        <f>ROUND(SUM(P14:P28),0)</f>
        <v>31702</v>
      </c>
      <c r="Q13" s="71"/>
      <c r="R13" s="65">
        <f>SUM(J13:Q13)</f>
        <v>7141454</v>
      </c>
      <c r="S13" s="34"/>
      <c r="T13" s="64">
        <v>6287125</v>
      </c>
      <c r="U13" s="64">
        <v>190773</v>
      </c>
      <c r="V13" s="64">
        <v>180518</v>
      </c>
      <c r="W13" s="64">
        <v>6658416</v>
      </c>
      <c r="X13" s="34"/>
      <c r="Y13" s="34"/>
      <c r="Z13" s="34"/>
      <c r="AA13" s="34"/>
      <c r="AB13" s="34"/>
      <c r="AC13" s="34"/>
      <c r="AD13" s="34"/>
    </row>
    <row r="14" spans="1:30" x14ac:dyDescent="0.3">
      <c r="A14" s="41" t="s">
        <v>210</v>
      </c>
      <c r="B14" s="63">
        <f>4.75*C14</f>
        <v>104.5</v>
      </c>
      <c r="C14" s="63">
        <f>SUM(D16:D28)</f>
        <v>22</v>
      </c>
      <c r="D14" s="94"/>
      <c r="E14" s="63">
        <f>SUM(E16:E28)</f>
        <v>362857</v>
      </c>
      <c r="F14" s="61">
        <v>2083</v>
      </c>
      <c r="G14" s="60">
        <f>C14*F14*3.17*12</f>
        <v>1743221.0399999998</v>
      </c>
      <c r="H14" s="60">
        <f>C14*F14*1.58*1.75*12</f>
        <v>1520506.68</v>
      </c>
      <c r="I14" s="60">
        <f>C14*F14*0.19*12</f>
        <v>104483.28</v>
      </c>
      <c r="J14" s="60">
        <f>G14+H14+I14</f>
        <v>3368210.9999999995</v>
      </c>
      <c r="K14" s="60">
        <f>J14*$K$9</f>
        <v>794560.97489999991</v>
      </c>
      <c r="L14" s="60"/>
      <c r="M14" s="60"/>
      <c r="N14" s="60"/>
      <c r="O14" s="60"/>
      <c r="P14" s="60"/>
      <c r="Q14" s="60"/>
      <c r="R14" s="83"/>
      <c r="T14" s="67"/>
      <c r="U14" s="67"/>
      <c r="V14" s="67"/>
      <c r="W14" s="67"/>
    </row>
    <row r="15" spans="1:30" x14ac:dyDescent="0.3">
      <c r="A15" s="41" t="s">
        <v>72</v>
      </c>
      <c r="B15" s="63">
        <f>4.75*C15</f>
        <v>104.5</v>
      </c>
      <c r="C15" s="63">
        <f>C14</f>
        <v>22</v>
      </c>
      <c r="D15" s="94"/>
      <c r="E15" s="94"/>
      <c r="F15" s="61">
        <v>1303</v>
      </c>
      <c r="G15" s="60">
        <f>C15*F15*3.17*12</f>
        <v>1090454.6400000001</v>
      </c>
      <c r="H15" s="60">
        <f>C15*F15*1.58*1.75*12</f>
        <v>951137.87999999989</v>
      </c>
      <c r="I15" s="60">
        <f>C15*F15*0.19*12</f>
        <v>65358.479999999996</v>
      </c>
      <c r="J15" s="60">
        <f>G15+H15+I15</f>
        <v>2106951</v>
      </c>
      <c r="K15" s="60">
        <f>J15*$K$9</f>
        <v>497029.74089999998</v>
      </c>
      <c r="L15" s="60"/>
      <c r="M15" s="60"/>
      <c r="N15" s="60"/>
      <c r="O15" s="60"/>
      <c r="P15" s="60"/>
      <c r="Q15" s="60"/>
      <c r="R15" s="83"/>
      <c r="T15" s="67"/>
      <c r="U15" s="67"/>
      <c r="V15" s="67"/>
      <c r="W15" s="67"/>
    </row>
    <row r="16" spans="1:30" ht="15" customHeight="1" x14ac:dyDescent="0.3">
      <c r="A16" s="53" t="s">
        <v>274</v>
      </c>
      <c r="B16" s="86"/>
      <c r="C16" s="53"/>
      <c r="D16" s="42">
        <v>3</v>
      </c>
      <c r="E16" s="42">
        <f t="shared" ref="E16:E24" si="0">D16*$F$5</f>
        <v>53973</v>
      </c>
      <c r="F16" s="53"/>
      <c r="G16" s="60"/>
      <c r="I16" s="60"/>
      <c r="J16" s="60"/>
      <c r="K16" s="60"/>
      <c r="L16" s="50">
        <f t="shared" ref="L16:L24" si="1">$D16*$B$5</f>
        <v>23562</v>
      </c>
      <c r="M16" s="50"/>
      <c r="N16" s="50">
        <f t="shared" ref="N16:N24" si="2">$D16*$C$5</f>
        <v>23466</v>
      </c>
      <c r="O16" s="50">
        <f t="shared" ref="O16:O24" si="3">$D16*$D$5</f>
        <v>2622</v>
      </c>
      <c r="P16" s="50">
        <f t="shared" ref="P16:P24" si="4">$D16*$E$5</f>
        <v>4323</v>
      </c>
      <c r="Q16" s="50"/>
      <c r="R16" s="83"/>
      <c r="T16" s="67"/>
      <c r="U16" s="67"/>
      <c r="V16" s="67"/>
      <c r="W16" s="67"/>
    </row>
    <row r="17" spans="1:23" ht="15.5" x14ac:dyDescent="0.3">
      <c r="A17" s="53" t="s">
        <v>213</v>
      </c>
      <c r="B17" s="86"/>
      <c r="C17" s="53"/>
      <c r="D17" s="42">
        <v>4</v>
      </c>
      <c r="E17" s="42">
        <f t="shared" si="0"/>
        <v>71964</v>
      </c>
      <c r="F17" s="53"/>
      <c r="G17" s="60"/>
      <c r="H17" s="60"/>
      <c r="I17" s="60"/>
      <c r="J17" s="60"/>
      <c r="K17" s="60"/>
      <c r="L17" s="50">
        <f t="shared" si="1"/>
        <v>31416</v>
      </c>
      <c r="M17" s="50"/>
      <c r="N17" s="50">
        <f t="shared" si="2"/>
        <v>31288</v>
      </c>
      <c r="O17" s="50">
        <f t="shared" si="3"/>
        <v>3496</v>
      </c>
      <c r="P17" s="50">
        <f t="shared" si="4"/>
        <v>5764</v>
      </c>
      <c r="Q17" s="50"/>
      <c r="R17" s="83"/>
      <c r="T17" s="67"/>
      <c r="U17" s="67"/>
      <c r="V17" s="67"/>
      <c r="W17" s="67"/>
    </row>
    <row r="18" spans="1:23" s="34" customFormat="1" ht="15.5" x14ac:dyDescent="0.3">
      <c r="A18" s="53" t="s">
        <v>268</v>
      </c>
      <c r="B18" s="86"/>
      <c r="C18" s="53"/>
      <c r="D18" s="42">
        <v>1</v>
      </c>
      <c r="E18" s="42">
        <f t="shared" si="0"/>
        <v>17991</v>
      </c>
      <c r="F18" s="53"/>
      <c r="G18" s="60"/>
      <c r="H18" s="60"/>
      <c r="I18" s="60"/>
      <c r="J18" s="60"/>
      <c r="K18" s="60"/>
      <c r="L18" s="50">
        <f t="shared" si="1"/>
        <v>7854</v>
      </c>
      <c r="M18" s="50"/>
      <c r="N18" s="50">
        <f t="shared" si="2"/>
        <v>7822</v>
      </c>
      <c r="O18" s="50">
        <f t="shared" si="3"/>
        <v>874</v>
      </c>
      <c r="P18" s="50">
        <f t="shared" si="4"/>
        <v>1441</v>
      </c>
      <c r="Q18" s="50"/>
      <c r="R18" s="83"/>
      <c r="T18" s="67"/>
      <c r="U18" s="67"/>
      <c r="V18" s="67"/>
      <c r="W18" s="67"/>
    </row>
    <row r="19" spans="1:23" s="34" customFormat="1" ht="15.5" x14ac:dyDescent="0.3">
      <c r="A19" s="53" t="s">
        <v>273</v>
      </c>
      <c r="B19" s="86"/>
      <c r="C19" s="53"/>
      <c r="D19" s="42">
        <v>1</v>
      </c>
      <c r="E19" s="42">
        <f t="shared" si="0"/>
        <v>17991</v>
      </c>
      <c r="F19" s="53"/>
      <c r="G19" s="60"/>
      <c r="H19" s="60"/>
      <c r="I19" s="60"/>
      <c r="J19" s="60"/>
      <c r="K19" s="60"/>
      <c r="L19" s="50">
        <f t="shared" si="1"/>
        <v>7854</v>
      </c>
      <c r="M19" s="50"/>
      <c r="N19" s="50">
        <f t="shared" si="2"/>
        <v>7822</v>
      </c>
      <c r="O19" s="50">
        <f t="shared" si="3"/>
        <v>874</v>
      </c>
      <c r="P19" s="50">
        <f t="shared" si="4"/>
        <v>1441</v>
      </c>
      <c r="Q19" s="50"/>
      <c r="R19" s="83"/>
      <c r="T19" s="67"/>
      <c r="U19" s="67"/>
      <c r="V19" s="67"/>
      <c r="W19" s="67"/>
    </row>
    <row r="20" spans="1:23" s="34" customFormat="1" ht="15.5" x14ac:dyDescent="0.3">
      <c r="A20" s="53" t="s">
        <v>272</v>
      </c>
      <c r="B20" s="86"/>
      <c r="C20" s="53"/>
      <c r="D20" s="42">
        <v>2</v>
      </c>
      <c r="E20" s="42">
        <f t="shared" si="0"/>
        <v>35982</v>
      </c>
      <c r="F20" s="53"/>
      <c r="G20" s="60"/>
      <c r="H20" s="60"/>
      <c r="I20" s="60"/>
      <c r="J20" s="60"/>
      <c r="K20" s="60"/>
      <c r="L20" s="50">
        <f t="shared" si="1"/>
        <v>15708</v>
      </c>
      <c r="M20" s="50"/>
      <c r="N20" s="50">
        <f t="shared" si="2"/>
        <v>15644</v>
      </c>
      <c r="O20" s="50">
        <f t="shared" si="3"/>
        <v>1748</v>
      </c>
      <c r="P20" s="50">
        <f t="shared" si="4"/>
        <v>2882</v>
      </c>
      <c r="Q20" s="50"/>
      <c r="R20" s="83"/>
      <c r="T20" s="67"/>
      <c r="U20" s="67"/>
      <c r="V20" s="67"/>
      <c r="W20" s="67"/>
    </row>
    <row r="21" spans="1:23" s="34" customFormat="1" ht="15.5" x14ac:dyDescent="0.3">
      <c r="A21" s="53" t="s">
        <v>271</v>
      </c>
      <c r="B21" s="86"/>
      <c r="C21" s="53"/>
      <c r="D21" s="42">
        <v>2</v>
      </c>
      <c r="E21" s="42">
        <f t="shared" si="0"/>
        <v>35982</v>
      </c>
      <c r="F21" s="53"/>
      <c r="G21" s="60"/>
      <c r="H21" s="60"/>
      <c r="I21" s="60"/>
      <c r="J21" s="60"/>
      <c r="K21" s="60"/>
      <c r="L21" s="50">
        <f t="shared" si="1"/>
        <v>15708</v>
      </c>
      <c r="M21" s="50"/>
      <c r="N21" s="50">
        <f t="shared" si="2"/>
        <v>15644</v>
      </c>
      <c r="O21" s="50">
        <f t="shared" si="3"/>
        <v>1748</v>
      </c>
      <c r="P21" s="50">
        <f t="shared" si="4"/>
        <v>2882</v>
      </c>
      <c r="Q21" s="50"/>
      <c r="R21" s="83"/>
      <c r="T21" s="67"/>
      <c r="U21" s="67"/>
      <c r="V21" s="67"/>
      <c r="W21" s="67"/>
    </row>
    <row r="22" spans="1:23" s="34" customFormat="1" ht="15.5" x14ac:dyDescent="0.3">
      <c r="A22" s="53" t="s">
        <v>270</v>
      </c>
      <c r="B22" s="86"/>
      <c r="C22" s="53"/>
      <c r="D22" s="42">
        <v>2</v>
      </c>
      <c r="E22" s="42">
        <f t="shared" si="0"/>
        <v>35982</v>
      </c>
      <c r="F22" s="53"/>
      <c r="G22" s="60"/>
      <c r="H22" s="60"/>
      <c r="I22" s="60"/>
      <c r="J22" s="60"/>
      <c r="K22" s="60"/>
      <c r="L22" s="50">
        <f t="shared" si="1"/>
        <v>15708</v>
      </c>
      <c r="M22" s="50"/>
      <c r="N22" s="50">
        <f t="shared" si="2"/>
        <v>15644</v>
      </c>
      <c r="O22" s="50">
        <f t="shared" si="3"/>
        <v>1748</v>
      </c>
      <c r="P22" s="50">
        <f t="shared" si="4"/>
        <v>2882</v>
      </c>
      <c r="Q22" s="50"/>
      <c r="R22" s="83"/>
      <c r="T22" s="67"/>
      <c r="U22" s="67"/>
      <c r="V22" s="67"/>
      <c r="W22" s="67"/>
    </row>
    <row r="23" spans="1:23" s="34" customFormat="1" ht="15.5" x14ac:dyDescent="0.3">
      <c r="A23" s="53" t="s">
        <v>259</v>
      </c>
      <c r="B23" s="86"/>
      <c r="C23" s="53"/>
      <c r="D23" s="42">
        <v>1</v>
      </c>
      <c r="E23" s="42">
        <f t="shared" si="0"/>
        <v>17991</v>
      </c>
      <c r="F23" s="53"/>
      <c r="G23" s="60"/>
      <c r="H23" s="60"/>
      <c r="I23" s="60"/>
      <c r="J23" s="60"/>
      <c r="K23" s="60"/>
      <c r="L23" s="50">
        <f t="shared" si="1"/>
        <v>7854</v>
      </c>
      <c r="M23" s="50"/>
      <c r="N23" s="50">
        <f t="shared" si="2"/>
        <v>7822</v>
      </c>
      <c r="O23" s="50">
        <f t="shared" si="3"/>
        <v>874</v>
      </c>
      <c r="P23" s="50">
        <f t="shared" si="4"/>
        <v>1441</v>
      </c>
      <c r="Q23" s="50"/>
      <c r="R23" s="83"/>
      <c r="T23" s="67"/>
      <c r="U23" s="67"/>
      <c r="V23" s="67"/>
      <c r="W23" s="67"/>
    </row>
    <row r="24" spans="1:23" s="34" customFormat="1" ht="15.5" x14ac:dyDescent="0.3">
      <c r="A24" s="53" t="s">
        <v>264</v>
      </c>
      <c r="B24" s="86"/>
      <c r="C24" s="53"/>
      <c r="D24" s="42">
        <v>1</v>
      </c>
      <c r="E24" s="42">
        <f t="shared" si="0"/>
        <v>17991</v>
      </c>
      <c r="F24" s="53"/>
      <c r="G24" s="60"/>
      <c r="H24" s="60"/>
      <c r="I24" s="60"/>
      <c r="J24" s="60"/>
      <c r="K24" s="60"/>
      <c r="L24" s="50">
        <f t="shared" si="1"/>
        <v>7854</v>
      </c>
      <c r="M24" s="50"/>
      <c r="N24" s="50">
        <f t="shared" si="2"/>
        <v>7822</v>
      </c>
      <c r="O24" s="50">
        <f t="shared" si="3"/>
        <v>874</v>
      </c>
      <c r="P24" s="50">
        <f t="shared" si="4"/>
        <v>1441</v>
      </c>
      <c r="Q24" s="50"/>
      <c r="R24" s="83"/>
      <c r="T24" s="67"/>
      <c r="U24" s="67"/>
      <c r="V24" s="67"/>
      <c r="W24" s="67"/>
    </row>
    <row r="25" spans="1:23" s="34" customFormat="1" ht="27" customHeight="1" x14ac:dyDescent="0.3">
      <c r="A25" s="53" t="s">
        <v>221</v>
      </c>
      <c r="B25" s="86"/>
      <c r="C25" s="53"/>
      <c r="D25" s="42">
        <v>1</v>
      </c>
      <c r="E25" s="42">
        <f>D25*$F$6</f>
        <v>11402</v>
      </c>
      <c r="F25" s="53"/>
      <c r="G25" s="60"/>
      <c r="H25" s="60"/>
      <c r="I25" s="60"/>
      <c r="J25" s="60"/>
      <c r="K25" s="60"/>
      <c r="L25" s="50">
        <f>$D25*$B$6</f>
        <v>1265</v>
      </c>
      <c r="M25" s="50"/>
      <c r="N25" s="50">
        <f>$D25*$C$6</f>
        <v>7822</v>
      </c>
      <c r="O25" s="50">
        <f>$D25*$D$6</f>
        <v>874</v>
      </c>
      <c r="P25" s="50">
        <f>$D25*$E$6</f>
        <v>1441</v>
      </c>
      <c r="Q25" s="50"/>
      <c r="R25" s="83"/>
      <c r="T25" s="67"/>
      <c r="U25" s="67"/>
      <c r="V25" s="67"/>
      <c r="W25" s="67"/>
    </row>
    <row r="26" spans="1:23" s="34" customFormat="1" ht="27" customHeight="1" x14ac:dyDescent="0.3">
      <c r="A26" s="53" t="s">
        <v>221</v>
      </c>
      <c r="B26" s="53"/>
      <c r="C26" s="53"/>
      <c r="D26" s="42">
        <v>1</v>
      </c>
      <c r="E26" s="42">
        <f>D26*$F$6</f>
        <v>11402</v>
      </c>
      <c r="F26" s="53"/>
      <c r="G26" s="60"/>
      <c r="H26" s="60"/>
      <c r="I26" s="60"/>
      <c r="J26" s="60"/>
      <c r="K26" s="60"/>
      <c r="L26" s="50">
        <f>$D26*$B$6</f>
        <v>1265</v>
      </c>
      <c r="M26" s="50"/>
      <c r="N26" s="50">
        <f>$D26*$C$6</f>
        <v>7822</v>
      </c>
      <c r="O26" s="50">
        <f>$D26*$D$6</f>
        <v>874</v>
      </c>
      <c r="P26" s="50">
        <f>$D26*$E$6</f>
        <v>1441</v>
      </c>
      <c r="Q26" s="50"/>
      <c r="R26" s="83"/>
      <c r="T26" s="67"/>
      <c r="U26" s="67"/>
      <c r="V26" s="67"/>
      <c r="W26" s="67"/>
    </row>
    <row r="27" spans="1:23" s="34" customFormat="1" ht="15.5" x14ac:dyDescent="0.3">
      <c r="A27" s="58" t="s">
        <v>212</v>
      </c>
      <c r="B27" s="86"/>
      <c r="C27" s="86"/>
      <c r="D27" s="42">
        <v>2</v>
      </c>
      <c r="E27" s="42">
        <f>D27*$F$6</f>
        <v>22804</v>
      </c>
      <c r="F27" s="53"/>
      <c r="G27" s="60"/>
      <c r="H27" s="60"/>
      <c r="I27" s="60"/>
      <c r="J27" s="60"/>
      <c r="K27" s="60"/>
      <c r="L27" s="50">
        <f>$D27*$B$6</f>
        <v>2530</v>
      </c>
      <c r="M27" s="50"/>
      <c r="N27" s="50">
        <f>$D27*$C$6</f>
        <v>15644</v>
      </c>
      <c r="O27" s="50">
        <f>$D27*$D$6</f>
        <v>1748</v>
      </c>
      <c r="P27" s="50">
        <f>$D27*$E$6</f>
        <v>2882</v>
      </c>
      <c r="Q27" s="50"/>
      <c r="R27" s="83"/>
      <c r="T27" s="67"/>
      <c r="U27" s="67"/>
      <c r="V27" s="67"/>
      <c r="W27" s="67"/>
    </row>
    <row r="28" spans="1:23" s="34" customFormat="1" ht="21.75" customHeight="1" x14ac:dyDescent="0.3">
      <c r="A28" s="53" t="s">
        <v>211</v>
      </c>
      <c r="B28" s="86"/>
      <c r="C28" s="53"/>
      <c r="D28" s="42">
        <v>1</v>
      </c>
      <c r="E28" s="42">
        <f>D28*$F$6</f>
        <v>11402</v>
      </c>
      <c r="F28" s="60"/>
      <c r="G28" s="60"/>
      <c r="H28" s="60"/>
      <c r="I28" s="60"/>
      <c r="J28" s="60"/>
      <c r="K28" s="60"/>
      <c r="L28" s="50">
        <f>$D28*$B$6</f>
        <v>1265</v>
      </c>
      <c r="M28" s="50"/>
      <c r="N28" s="50">
        <f>$D28*$C$6</f>
        <v>7822</v>
      </c>
      <c r="O28" s="50">
        <f>$D28*$D$6</f>
        <v>874</v>
      </c>
      <c r="P28" s="50">
        <f>$D28*$E$6</f>
        <v>1441</v>
      </c>
      <c r="Q28" s="50"/>
      <c r="R28" s="83"/>
      <c r="T28" s="67"/>
      <c r="U28" s="67"/>
      <c r="V28" s="67"/>
      <c r="W28" s="67"/>
    </row>
    <row r="29" spans="1:23" s="34" customFormat="1" ht="31.5" customHeight="1" x14ac:dyDescent="0.3">
      <c r="A29" s="62" t="s">
        <v>269</v>
      </c>
      <c r="B29" s="69"/>
      <c r="C29" s="53"/>
      <c r="D29" s="42"/>
      <c r="E29" s="42"/>
      <c r="F29" s="53"/>
      <c r="G29" s="60"/>
      <c r="H29" s="60"/>
      <c r="I29" s="60"/>
      <c r="J29" s="71">
        <f>ROUND(SUM(J30:J45),0)</f>
        <v>6719517</v>
      </c>
      <c r="K29" s="71">
        <f>ROUND(SUM(K30:K45),0)</f>
        <v>1585134</v>
      </c>
      <c r="L29" s="71">
        <f>ROUND(SUM(L30:L45),0)</f>
        <v>165430</v>
      </c>
      <c r="M29" s="71">
        <v>12586</v>
      </c>
      <c r="N29" s="71">
        <f>ROUND(SUM(N30:N45),0)</f>
        <v>211194</v>
      </c>
      <c r="O29" s="71">
        <f>ROUND(SUM(O30:O45),0)</f>
        <v>23598</v>
      </c>
      <c r="P29" s="71">
        <f>ROUND(SUM(P30:P45),0)</f>
        <v>38907</v>
      </c>
      <c r="Q29" s="71"/>
      <c r="R29" s="65">
        <f>SUM(J29:P29)</f>
        <v>8756366</v>
      </c>
      <c r="T29" s="64">
        <v>7716017</v>
      </c>
      <c r="U29" s="64">
        <v>227935</v>
      </c>
      <c r="V29" s="64">
        <v>219595</v>
      </c>
      <c r="W29" s="64">
        <v>8163547</v>
      </c>
    </row>
    <row r="30" spans="1:23" s="34" customFormat="1" x14ac:dyDescent="0.3">
      <c r="A30" s="62" t="s">
        <v>210</v>
      </c>
      <c r="B30" s="63">
        <f>4.75*C30</f>
        <v>128.25</v>
      </c>
      <c r="C30" s="63">
        <f>SUM(D32:D45)</f>
        <v>27</v>
      </c>
      <c r="D30" s="42"/>
      <c r="E30" s="63">
        <f>SUM(E31:E45)</f>
        <v>439129</v>
      </c>
      <c r="F30" s="61">
        <v>2083</v>
      </c>
      <c r="G30" s="60">
        <f>C30*F30*3.17*12</f>
        <v>2139407.64</v>
      </c>
      <c r="H30" s="60">
        <f>C30*F30*1.58*1.75*12</f>
        <v>1866076.38</v>
      </c>
      <c r="I30" s="60">
        <f>C30*F30*0.19*12</f>
        <v>128229.48000000001</v>
      </c>
      <c r="J30" s="60">
        <f>G30+H30+I30</f>
        <v>4133713.5</v>
      </c>
      <c r="K30" s="60">
        <f>J30*$K$9</f>
        <v>975143.01465000003</v>
      </c>
      <c r="L30" s="60"/>
      <c r="M30" s="60"/>
      <c r="N30" s="60"/>
      <c r="O30" s="60"/>
      <c r="P30" s="60"/>
      <c r="Q30" s="60"/>
      <c r="R30" s="83"/>
      <c r="T30" s="67"/>
      <c r="U30" s="67"/>
      <c r="V30" s="67"/>
      <c r="W30" s="67"/>
    </row>
    <row r="31" spans="1:23" s="34" customFormat="1" x14ac:dyDescent="0.3">
      <c r="A31" s="62" t="s">
        <v>72</v>
      </c>
      <c r="B31" s="63">
        <f>4.75*C31</f>
        <v>128.25</v>
      </c>
      <c r="C31" s="63">
        <f>C30</f>
        <v>27</v>
      </c>
      <c r="D31" s="42"/>
      <c r="E31" s="42"/>
      <c r="F31" s="61">
        <v>1303</v>
      </c>
      <c r="G31" s="60">
        <f>C31*F31*3.17*12</f>
        <v>1338285.24</v>
      </c>
      <c r="H31" s="60">
        <f>C31*F31*1.58*1.75*12</f>
        <v>1167305.58</v>
      </c>
      <c r="I31" s="60">
        <f>C31*F31*0.19*12</f>
        <v>80212.680000000008</v>
      </c>
      <c r="J31" s="60">
        <f>G31+H31+I31</f>
        <v>2585803.5000000005</v>
      </c>
      <c r="K31" s="60">
        <f>J31*$K$9</f>
        <v>609991.0456500001</v>
      </c>
      <c r="L31" s="60"/>
      <c r="M31" s="60"/>
      <c r="N31" s="60"/>
      <c r="O31" s="60"/>
      <c r="P31" s="60"/>
      <c r="Q31" s="60"/>
      <c r="R31" s="83"/>
      <c r="T31" s="67"/>
      <c r="U31" s="67"/>
      <c r="V31" s="67"/>
      <c r="W31" s="67"/>
    </row>
    <row r="32" spans="1:23" s="34" customFormat="1" x14ac:dyDescent="0.3">
      <c r="A32" s="53" t="s">
        <v>213</v>
      </c>
      <c r="B32" s="69"/>
      <c r="C32" s="53"/>
      <c r="D32" s="42">
        <v>5</v>
      </c>
      <c r="E32" s="42">
        <f>D32*$F$5</f>
        <v>89955</v>
      </c>
      <c r="F32" s="53"/>
      <c r="G32" s="60"/>
      <c r="H32" s="60"/>
      <c r="I32" s="60"/>
      <c r="J32" s="60"/>
      <c r="K32" s="60"/>
      <c r="L32" s="50">
        <f>$D32*$B$5</f>
        <v>39270</v>
      </c>
      <c r="M32" s="50"/>
      <c r="N32" s="50">
        <f>$D32*$C$5</f>
        <v>39110</v>
      </c>
      <c r="O32" s="50">
        <f>$D32*$D$5</f>
        <v>4370</v>
      </c>
      <c r="P32" s="50">
        <f>$D32*$E$5</f>
        <v>7205</v>
      </c>
      <c r="Q32" s="50"/>
      <c r="R32" s="83"/>
      <c r="T32" s="67"/>
      <c r="U32" s="67"/>
      <c r="V32" s="67"/>
      <c r="W32" s="67"/>
    </row>
    <row r="33" spans="1:23" s="34" customFormat="1" x14ac:dyDescent="0.3">
      <c r="A33" s="58" t="s">
        <v>248</v>
      </c>
      <c r="B33" s="79"/>
      <c r="C33" s="53"/>
      <c r="D33" s="42">
        <v>2</v>
      </c>
      <c r="E33" s="42">
        <f>D33*$F$5</f>
        <v>35982</v>
      </c>
      <c r="F33" s="53"/>
      <c r="G33" s="60"/>
      <c r="H33" s="60"/>
      <c r="I33" s="60"/>
      <c r="J33" s="60"/>
      <c r="K33" s="60"/>
      <c r="L33" s="50">
        <f>$D33*$B$5</f>
        <v>15708</v>
      </c>
      <c r="M33" s="50"/>
      <c r="N33" s="50">
        <f>$D33*$C$5</f>
        <v>15644</v>
      </c>
      <c r="O33" s="50">
        <f>$D33*$D$5</f>
        <v>1748</v>
      </c>
      <c r="P33" s="50">
        <f>$D33*$E$5</f>
        <v>2882</v>
      </c>
      <c r="Q33" s="50"/>
      <c r="R33" s="83"/>
      <c r="T33" s="67"/>
      <c r="U33" s="67"/>
      <c r="V33" s="67"/>
      <c r="W33" s="67"/>
    </row>
    <row r="34" spans="1:23" s="34" customFormat="1" x14ac:dyDescent="0.3">
      <c r="A34" s="58" t="s">
        <v>249</v>
      </c>
      <c r="B34" s="79"/>
      <c r="C34" s="53"/>
      <c r="D34" s="42">
        <v>2</v>
      </c>
      <c r="E34" s="42">
        <f>D34*$F$5</f>
        <v>35982</v>
      </c>
      <c r="F34" s="53"/>
      <c r="G34" s="60"/>
      <c r="H34" s="60"/>
      <c r="I34" s="60"/>
      <c r="J34" s="60"/>
      <c r="K34" s="60"/>
      <c r="L34" s="50">
        <f>$D34*$B$5</f>
        <v>15708</v>
      </c>
      <c r="M34" s="50"/>
      <c r="N34" s="50">
        <f>$D34*$C$5</f>
        <v>15644</v>
      </c>
      <c r="O34" s="50">
        <f>$D34*$D$5</f>
        <v>1748</v>
      </c>
      <c r="P34" s="50">
        <f>$D34*$E$5</f>
        <v>2882</v>
      </c>
      <c r="Q34" s="50"/>
      <c r="R34" s="83"/>
      <c r="T34" s="67"/>
      <c r="U34" s="67"/>
      <c r="V34" s="67"/>
      <c r="W34" s="67"/>
    </row>
    <row r="35" spans="1:23" s="34" customFormat="1" x14ac:dyDescent="0.3">
      <c r="A35" s="53" t="s">
        <v>268</v>
      </c>
      <c r="B35" s="79"/>
      <c r="C35" s="53"/>
      <c r="D35" s="42">
        <v>1</v>
      </c>
      <c r="E35" s="42">
        <f>D35*$F$5</f>
        <v>17991</v>
      </c>
      <c r="F35" s="53"/>
      <c r="G35" s="60"/>
      <c r="H35" s="60"/>
      <c r="I35" s="60"/>
      <c r="J35" s="60"/>
      <c r="K35" s="60"/>
      <c r="L35" s="50">
        <f>$D35*$B$5</f>
        <v>7854</v>
      </c>
      <c r="M35" s="50"/>
      <c r="N35" s="50">
        <f>$D35*$C$5</f>
        <v>7822</v>
      </c>
      <c r="O35" s="50">
        <f>$D35*$D$5</f>
        <v>874</v>
      </c>
      <c r="P35" s="50">
        <f>$D35*$E$5</f>
        <v>1441</v>
      </c>
      <c r="Q35" s="50"/>
      <c r="R35" s="83"/>
      <c r="T35" s="67"/>
      <c r="U35" s="67"/>
      <c r="V35" s="67"/>
      <c r="W35" s="67"/>
    </row>
    <row r="36" spans="1:23" s="34" customFormat="1" x14ac:dyDescent="0.3">
      <c r="A36" s="58" t="s">
        <v>212</v>
      </c>
      <c r="B36" s="79"/>
      <c r="C36" s="53"/>
      <c r="D36" s="42">
        <v>2</v>
      </c>
      <c r="E36" s="42">
        <f>D36*$F$6</f>
        <v>22804</v>
      </c>
      <c r="F36" s="53"/>
      <c r="G36" s="60"/>
      <c r="H36" s="60"/>
      <c r="I36" s="60"/>
      <c r="J36" s="60"/>
      <c r="K36" s="60"/>
      <c r="L36" s="50">
        <f>$D36*$B$6</f>
        <v>2530</v>
      </c>
      <c r="M36" s="50"/>
      <c r="N36" s="50">
        <f>$D36*$C$6</f>
        <v>15644</v>
      </c>
      <c r="O36" s="50">
        <f>$D36*$D$6</f>
        <v>1748</v>
      </c>
      <c r="P36" s="50">
        <f>$D36*$E$6</f>
        <v>2882</v>
      </c>
      <c r="Q36" s="50"/>
      <c r="R36" s="83"/>
      <c r="T36" s="67"/>
      <c r="U36" s="67"/>
      <c r="V36" s="67"/>
      <c r="W36" s="67"/>
    </row>
    <row r="37" spans="1:23" s="34" customFormat="1" x14ac:dyDescent="0.3">
      <c r="A37" s="58" t="s">
        <v>267</v>
      </c>
      <c r="B37" s="79"/>
      <c r="C37" s="53"/>
      <c r="D37" s="42">
        <v>5</v>
      </c>
      <c r="E37" s="42">
        <f>D37*$F$5</f>
        <v>89955</v>
      </c>
      <c r="F37" s="53"/>
      <c r="G37" s="60"/>
      <c r="H37" s="60"/>
      <c r="I37" s="60"/>
      <c r="J37" s="60"/>
      <c r="K37" s="60"/>
      <c r="L37" s="50">
        <f>$D37*$B$5</f>
        <v>39270</v>
      </c>
      <c r="M37" s="50"/>
      <c r="N37" s="50">
        <f>$D37*$C$5</f>
        <v>39110</v>
      </c>
      <c r="O37" s="50">
        <f>$D37*$D$5</f>
        <v>4370</v>
      </c>
      <c r="P37" s="50">
        <f>$D37*$E$5</f>
        <v>7205</v>
      </c>
      <c r="Q37" s="50"/>
      <c r="R37" s="83"/>
      <c r="T37" s="67"/>
      <c r="U37" s="67"/>
      <c r="V37" s="67"/>
      <c r="W37" s="67"/>
    </row>
    <row r="38" spans="1:23" s="34" customFormat="1" x14ac:dyDescent="0.3">
      <c r="A38" s="58" t="s">
        <v>266</v>
      </c>
      <c r="B38" s="79"/>
      <c r="C38" s="53"/>
      <c r="D38" s="42">
        <v>1</v>
      </c>
      <c r="E38" s="42">
        <f>D38*$F$5</f>
        <v>17991</v>
      </c>
      <c r="F38" s="53"/>
      <c r="G38" s="60"/>
      <c r="H38" s="60"/>
      <c r="I38" s="60"/>
      <c r="J38" s="60"/>
      <c r="K38" s="60"/>
      <c r="L38" s="50">
        <f>$D38*$B$5</f>
        <v>7854</v>
      </c>
      <c r="M38" s="50"/>
      <c r="N38" s="50">
        <f>$D38*$C$5</f>
        <v>7822</v>
      </c>
      <c r="O38" s="50">
        <f>$D38*$D$5</f>
        <v>874</v>
      </c>
      <c r="P38" s="50">
        <f>$D38*$E$5</f>
        <v>1441</v>
      </c>
      <c r="Q38" s="50"/>
      <c r="R38" s="83"/>
      <c r="T38" s="67"/>
      <c r="U38" s="67"/>
      <c r="V38" s="67"/>
      <c r="W38" s="67"/>
    </row>
    <row r="39" spans="1:23" s="34" customFormat="1" x14ac:dyDescent="0.3">
      <c r="A39" s="58" t="s">
        <v>214</v>
      </c>
      <c r="B39" s="79"/>
      <c r="C39" s="53"/>
      <c r="D39" s="42">
        <v>2</v>
      </c>
      <c r="E39" s="42">
        <f>D39*$F$5</f>
        <v>35982</v>
      </c>
      <c r="F39" s="53"/>
      <c r="G39" s="60"/>
      <c r="H39" s="60"/>
      <c r="I39" s="60"/>
      <c r="J39" s="60"/>
      <c r="K39" s="60"/>
      <c r="L39" s="50">
        <f>$D39*$B$5</f>
        <v>15708</v>
      </c>
      <c r="M39" s="50"/>
      <c r="N39" s="50">
        <f>$D39*$C$5</f>
        <v>15644</v>
      </c>
      <c r="O39" s="50">
        <f>$D39*$D$5</f>
        <v>1748</v>
      </c>
      <c r="P39" s="50">
        <f>$D39*$E$5</f>
        <v>2882</v>
      </c>
      <c r="Q39" s="50"/>
      <c r="R39" s="83"/>
      <c r="T39" s="67"/>
      <c r="U39" s="67"/>
      <c r="V39" s="67"/>
      <c r="W39" s="67"/>
    </row>
    <row r="40" spans="1:23" s="34" customFormat="1" x14ac:dyDescent="0.3">
      <c r="A40" s="58" t="s">
        <v>265</v>
      </c>
      <c r="B40" s="79"/>
      <c r="C40" s="53"/>
      <c r="D40" s="42"/>
      <c r="E40" s="42">
        <f>D40*$F$5</f>
        <v>0</v>
      </c>
      <c r="F40" s="53"/>
      <c r="G40" s="60"/>
      <c r="H40" s="60"/>
      <c r="I40" s="60"/>
      <c r="J40" s="60"/>
      <c r="K40" s="60"/>
      <c r="L40" s="50">
        <f>$D40*$B$5</f>
        <v>0</v>
      </c>
      <c r="M40" s="50"/>
      <c r="N40" s="50">
        <f>$D40*$C$5</f>
        <v>0</v>
      </c>
      <c r="O40" s="50">
        <f>$D40*$D$5</f>
        <v>0</v>
      </c>
      <c r="P40" s="50">
        <f>$D40*$E$5</f>
        <v>0</v>
      </c>
      <c r="Q40" s="50"/>
      <c r="R40" s="83"/>
      <c r="T40" s="67"/>
      <c r="U40" s="67"/>
      <c r="V40" s="67"/>
      <c r="W40" s="67"/>
    </row>
    <row r="41" spans="1:23" s="34" customFormat="1" x14ac:dyDescent="0.3">
      <c r="A41" s="53" t="s">
        <v>221</v>
      </c>
      <c r="B41" s="79"/>
      <c r="C41" s="53"/>
      <c r="D41" s="42">
        <v>3</v>
      </c>
      <c r="E41" s="42">
        <f>D41*$F$6</f>
        <v>34206</v>
      </c>
      <c r="F41" s="53"/>
      <c r="G41" s="60"/>
      <c r="H41" s="60"/>
      <c r="I41" s="60"/>
      <c r="J41" s="60"/>
      <c r="K41" s="60"/>
      <c r="L41" s="50">
        <f>$D41*$B$6</f>
        <v>3795</v>
      </c>
      <c r="M41" s="50"/>
      <c r="N41" s="50">
        <f>$D41*$C$6</f>
        <v>23466</v>
      </c>
      <c r="O41" s="50">
        <f>$D41*$D$6</f>
        <v>2622</v>
      </c>
      <c r="P41" s="50">
        <f>$D41*$E$6</f>
        <v>4323</v>
      </c>
      <c r="Q41" s="50"/>
      <c r="R41" s="83"/>
      <c r="T41" s="67"/>
      <c r="U41" s="67"/>
      <c r="V41" s="67"/>
      <c r="W41" s="67"/>
    </row>
    <row r="42" spans="1:23" s="34" customFormat="1" x14ac:dyDescent="0.3">
      <c r="A42" s="53" t="s">
        <v>264</v>
      </c>
      <c r="B42" s="79"/>
      <c r="C42" s="53"/>
      <c r="D42" s="42">
        <v>1</v>
      </c>
      <c r="E42" s="42">
        <f>D42*$F$5</f>
        <v>17991</v>
      </c>
      <c r="F42" s="53"/>
      <c r="G42" s="60"/>
      <c r="H42" s="60"/>
      <c r="I42" s="60"/>
      <c r="J42" s="60"/>
      <c r="K42" s="60"/>
      <c r="L42" s="50">
        <f>$D42*$B$5</f>
        <v>7854</v>
      </c>
      <c r="M42" s="50"/>
      <c r="N42" s="50">
        <f>$D42*$C$5</f>
        <v>7822</v>
      </c>
      <c r="O42" s="50">
        <f>$D42*$D$5</f>
        <v>874</v>
      </c>
      <c r="P42" s="50">
        <f>$D42*$E$5</f>
        <v>1441</v>
      </c>
      <c r="Q42" s="50"/>
      <c r="R42" s="83"/>
      <c r="T42" s="67"/>
      <c r="U42" s="67"/>
      <c r="V42" s="67"/>
      <c r="W42" s="67"/>
    </row>
    <row r="43" spans="1:23" s="34" customFormat="1" x14ac:dyDescent="0.3">
      <c r="A43" s="53" t="s">
        <v>259</v>
      </c>
      <c r="B43" s="79"/>
      <c r="C43" s="53"/>
      <c r="D43" s="42">
        <v>1</v>
      </c>
      <c r="E43" s="42">
        <f>D43*$F$5</f>
        <v>17991</v>
      </c>
      <c r="F43" s="53"/>
      <c r="G43" s="60"/>
      <c r="H43" s="60"/>
      <c r="I43" s="60"/>
      <c r="J43" s="60"/>
      <c r="K43" s="60"/>
      <c r="L43" s="50">
        <f>$D43*$B$5</f>
        <v>7854</v>
      </c>
      <c r="M43" s="50"/>
      <c r="N43" s="50">
        <f>$D43*$C$5</f>
        <v>7822</v>
      </c>
      <c r="O43" s="50">
        <f>$D43*$D$5</f>
        <v>874</v>
      </c>
      <c r="P43" s="50">
        <f>$D43*$E$5</f>
        <v>1441</v>
      </c>
      <c r="Q43" s="50"/>
      <c r="R43" s="83"/>
      <c r="T43" s="67"/>
      <c r="U43" s="67"/>
      <c r="V43" s="67"/>
      <c r="W43" s="67"/>
    </row>
    <row r="44" spans="1:23" s="34" customFormat="1" x14ac:dyDescent="0.3">
      <c r="A44" s="58" t="s">
        <v>263</v>
      </c>
      <c r="B44" s="79"/>
      <c r="C44" s="53"/>
      <c r="D44" s="42">
        <v>1</v>
      </c>
      <c r="E44" s="42">
        <f>D44*$F$6</f>
        <v>11402</v>
      </c>
      <c r="F44" s="53"/>
      <c r="G44" s="60"/>
      <c r="H44" s="60"/>
      <c r="I44" s="60"/>
      <c r="J44" s="60"/>
      <c r="K44" s="60"/>
      <c r="L44" s="50">
        <f>$D44*$B$6</f>
        <v>1265</v>
      </c>
      <c r="M44" s="50"/>
      <c r="N44" s="50">
        <f>$D44*$C$6</f>
        <v>7822</v>
      </c>
      <c r="O44" s="50">
        <f>$D44*$D$6</f>
        <v>874</v>
      </c>
      <c r="P44" s="50">
        <f>$D44*$E$6</f>
        <v>1441</v>
      </c>
      <c r="Q44" s="50"/>
      <c r="R44" s="83"/>
      <c r="T44" s="67"/>
      <c r="U44" s="67"/>
      <c r="V44" s="67"/>
      <c r="W44" s="67"/>
    </row>
    <row r="45" spans="1:23" s="34" customFormat="1" x14ac:dyDescent="0.3">
      <c r="A45" s="58" t="s">
        <v>262</v>
      </c>
      <c r="B45" s="79"/>
      <c r="C45" s="53"/>
      <c r="D45" s="42">
        <v>1</v>
      </c>
      <c r="E45" s="42">
        <f>D45*$F$9</f>
        <v>10897</v>
      </c>
      <c r="F45" s="53"/>
      <c r="G45" s="60"/>
      <c r="H45" s="60"/>
      <c r="I45" s="60"/>
      <c r="J45" s="60"/>
      <c r="K45" s="60"/>
      <c r="L45" s="50">
        <f>$D45*$B$9</f>
        <v>760</v>
      </c>
      <c r="M45" s="31"/>
      <c r="N45" s="50">
        <f>$D45*$C$6</f>
        <v>7822</v>
      </c>
      <c r="O45" s="50">
        <f>$D45*$D$6</f>
        <v>874</v>
      </c>
      <c r="P45" s="50">
        <f>$D45*$E$6</f>
        <v>1441</v>
      </c>
      <c r="Q45" s="50"/>
      <c r="R45" s="83"/>
      <c r="T45" s="67"/>
      <c r="U45" s="67"/>
      <c r="V45" s="67"/>
      <c r="W45" s="67"/>
    </row>
    <row r="46" spans="1:23" s="34" customFormat="1" ht="21.75" customHeight="1" x14ac:dyDescent="0.3">
      <c r="A46" s="62" t="s">
        <v>261</v>
      </c>
      <c r="B46" s="93"/>
      <c r="C46" s="92"/>
      <c r="D46" s="91"/>
      <c r="E46" s="91"/>
      <c r="F46" s="90"/>
      <c r="G46" s="90"/>
      <c r="H46" s="60"/>
      <c r="I46" s="60"/>
      <c r="J46" s="71">
        <f>ROUND(SUM(J47:J54),0)</f>
        <v>3911066</v>
      </c>
      <c r="K46" s="71">
        <f>ROUND(SUM(K47:K54),0)</f>
        <v>922620</v>
      </c>
      <c r="L46" s="71">
        <f>ROUND(SUM(L47:L54),0)</f>
        <v>72952</v>
      </c>
      <c r="M46" s="71">
        <v>11284</v>
      </c>
      <c r="N46" s="71">
        <f>ROUND(SUM(N47:N54),0)</f>
        <v>125152</v>
      </c>
      <c r="O46" s="71">
        <f>ROUND(SUM(O47:O54),0)</f>
        <v>13984</v>
      </c>
      <c r="P46" s="71">
        <f>ROUND(SUM(P47:P54),0)</f>
        <v>23056</v>
      </c>
      <c r="Q46" s="71"/>
      <c r="R46" s="65">
        <f>SUM(J46:P46)</f>
        <v>5080114</v>
      </c>
      <c r="T46" s="64">
        <v>4492933</v>
      </c>
      <c r="U46" s="64">
        <v>109992</v>
      </c>
      <c r="V46" s="64">
        <v>133956</v>
      </c>
      <c r="W46" s="64">
        <v>4736881</v>
      </c>
    </row>
    <row r="47" spans="1:23" s="34" customFormat="1" x14ac:dyDescent="0.3">
      <c r="A47" s="62" t="s">
        <v>210</v>
      </c>
      <c r="B47" s="63">
        <f>4.75*C47</f>
        <v>76</v>
      </c>
      <c r="C47" s="63">
        <f>SUM(D49:D54)</f>
        <v>16</v>
      </c>
      <c r="D47" s="42"/>
      <c r="E47" s="63">
        <f>SUM(E49:E54)</f>
        <v>235144</v>
      </c>
      <c r="F47" s="61">
        <v>2083</v>
      </c>
      <c r="G47" s="60">
        <f>C47*F47*3.17*12</f>
        <v>1267797.1199999999</v>
      </c>
      <c r="H47" s="60">
        <f>C47*F47*1.58*1.75*12</f>
        <v>1105823.04</v>
      </c>
      <c r="I47" s="60">
        <f>C47*F47*0.19*12</f>
        <v>75987.839999999997</v>
      </c>
      <c r="J47" s="60">
        <f>G47+H47+I47</f>
        <v>2449608</v>
      </c>
      <c r="K47" s="60">
        <f>J47*$K$9</f>
        <v>577862.52720000001</v>
      </c>
      <c r="L47" s="60"/>
      <c r="M47" s="60"/>
      <c r="N47" s="60"/>
      <c r="O47" s="60"/>
      <c r="P47" s="60"/>
      <c r="Q47" s="60"/>
      <c r="R47" s="85"/>
      <c r="T47" s="67"/>
      <c r="U47" s="67"/>
      <c r="V47" s="67"/>
      <c r="W47" s="67"/>
    </row>
    <row r="48" spans="1:23" s="34" customFormat="1" x14ac:dyDescent="0.3">
      <c r="A48" s="62" t="s">
        <v>72</v>
      </c>
      <c r="B48" s="63">
        <f>4.75*C48</f>
        <v>72.484999999999999</v>
      </c>
      <c r="C48" s="63">
        <v>15.26</v>
      </c>
      <c r="D48" s="42"/>
      <c r="E48" s="42"/>
      <c r="F48" s="61">
        <v>1303</v>
      </c>
      <c r="G48" s="77">
        <f>C48*F48*3.17*12</f>
        <v>756378.99119999993</v>
      </c>
      <c r="H48" s="60">
        <f>C48*F48*1.58*1.75*12</f>
        <v>659743.82040000008</v>
      </c>
      <c r="I48" s="60">
        <f>C48*F48*0.19*12</f>
        <v>45335.018399999994</v>
      </c>
      <c r="J48" s="60">
        <f>G48+H48+I48</f>
        <v>1461457.83</v>
      </c>
      <c r="K48" s="60">
        <f>J48*$K$9</f>
        <v>344757.90209700004</v>
      </c>
      <c r="L48" s="60"/>
      <c r="M48" s="60"/>
      <c r="N48" s="60"/>
      <c r="O48" s="60"/>
      <c r="P48" s="60"/>
      <c r="Q48" s="60"/>
      <c r="R48" s="85"/>
      <c r="T48" s="67"/>
      <c r="U48" s="67"/>
      <c r="V48" s="67"/>
      <c r="W48" s="67"/>
    </row>
    <row r="49" spans="1:23" s="34" customFormat="1" x14ac:dyDescent="0.3">
      <c r="A49" s="69" t="s">
        <v>260</v>
      </c>
      <c r="B49" s="69"/>
      <c r="C49" s="53"/>
      <c r="D49" s="42">
        <v>2</v>
      </c>
      <c r="E49" s="42">
        <f>D49*$F$5</f>
        <v>35982</v>
      </c>
      <c r="F49" s="53"/>
      <c r="G49" s="77"/>
      <c r="H49" s="60"/>
      <c r="I49" s="60"/>
      <c r="J49" s="60"/>
      <c r="K49" s="60"/>
      <c r="L49" s="50">
        <f>$D49*$B$5</f>
        <v>15708</v>
      </c>
      <c r="M49" s="50"/>
      <c r="N49" s="50">
        <f>$D49*$C$5</f>
        <v>15644</v>
      </c>
      <c r="O49" s="50">
        <f>$D49*$D$5</f>
        <v>1748</v>
      </c>
      <c r="P49" s="50">
        <f>$D49*$E$5</f>
        <v>2882</v>
      </c>
      <c r="Q49" s="50"/>
      <c r="R49" s="85"/>
      <c r="T49" s="67"/>
      <c r="U49" s="67"/>
      <c r="V49" s="67"/>
      <c r="W49" s="67"/>
    </row>
    <row r="50" spans="1:23" s="34" customFormat="1" x14ac:dyDescent="0.3">
      <c r="A50" s="53" t="s">
        <v>222</v>
      </c>
      <c r="B50" s="69"/>
      <c r="C50" s="69"/>
      <c r="D50" s="42">
        <v>5</v>
      </c>
      <c r="E50" s="42">
        <f>D50*$F$5</f>
        <v>89955</v>
      </c>
      <c r="F50" s="53"/>
      <c r="G50" s="77"/>
      <c r="H50" s="60"/>
      <c r="I50" s="60"/>
      <c r="J50" s="60"/>
      <c r="K50" s="60"/>
      <c r="L50" s="50">
        <f>$D50*$B$5</f>
        <v>39270</v>
      </c>
      <c r="M50" s="50"/>
      <c r="N50" s="50">
        <f>$D50*$C$5</f>
        <v>39110</v>
      </c>
      <c r="O50" s="50">
        <f>$D50*$D$5</f>
        <v>4370</v>
      </c>
      <c r="P50" s="50">
        <f>$D50*$E$5</f>
        <v>7205</v>
      </c>
      <c r="Q50" s="50"/>
      <c r="R50" s="85"/>
      <c r="T50" s="67"/>
      <c r="U50" s="67"/>
      <c r="V50" s="67"/>
      <c r="W50" s="67"/>
    </row>
    <row r="51" spans="1:23" s="34" customFormat="1" x14ac:dyDescent="0.3">
      <c r="A51" s="53" t="s">
        <v>221</v>
      </c>
      <c r="B51" s="69"/>
      <c r="C51" s="53"/>
      <c r="D51" s="42">
        <v>1</v>
      </c>
      <c r="E51" s="42">
        <f>D51*$F$6</f>
        <v>11402</v>
      </c>
      <c r="F51" s="53"/>
      <c r="G51" s="77"/>
      <c r="H51" s="60"/>
      <c r="I51" s="60"/>
      <c r="J51" s="60"/>
      <c r="K51" s="60"/>
      <c r="L51" s="50">
        <f>$D51*$B$6</f>
        <v>1265</v>
      </c>
      <c r="M51" s="50"/>
      <c r="N51" s="50">
        <f>$D51*$C$6</f>
        <v>7822</v>
      </c>
      <c r="O51" s="50">
        <f>$D51*$D$6</f>
        <v>874</v>
      </c>
      <c r="P51" s="50">
        <f>$D51*$E$6</f>
        <v>1441</v>
      </c>
      <c r="Q51" s="50"/>
      <c r="R51" s="85"/>
      <c r="T51" s="67"/>
      <c r="U51" s="67"/>
      <c r="V51" s="67"/>
      <c r="W51" s="67"/>
    </row>
    <row r="52" spans="1:23" s="34" customFormat="1" x14ac:dyDescent="0.3">
      <c r="A52" s="53" t="s">
        <v>211</v>
      </c>
      <c r="B52" s="69"/>
      <c r="C52" s="53"/>
      <c r="D52" s="42">
        <v>6</v>
      </c>
      <c r="E52" s="42">
        <f>D52*$F$6</f>
        <v>68412</v>
      </c>
      <c r="F52" s="53"/>
      <c r="G52" s="77"/>
      <c r="H52" s="60"/>
      <c r="I52" s="60"/>
      <c r="J52" s="60"/>
      <c r="K52" s="60"/>
      <c r="L52" s="50">
        <f>$D52*$B$6</f>
        <v>7590</v>
      </c>
      <c r="M52" s="50"/>
      <c r="N52" s="50">
        <f>$D52*$C$6</f>
        <v>46932</v>
      </c>
      <c r="O52" s="50">
        <f>$D52*$D$6</f>
        <v>5244</v>
      </c>
      <c r="P52" s="50">
        <f>$D52*$E$6</f>
        <v>8646</v>
      </c>
      <c r="Q52" s="50"/>
      <c r="R52" s="85"/>
      <c r="T52" s="67"/>
      <c r="U52" s="67"/>
      <c r="V52" s="67"/>
      <c r="W52" s="67"/>
    </row>
    <row r="53" spans="1:23" s="34" customFormat="1" x14ac:dyDescent="0.3">
      <c r="A53" s="53" t="s">
        <v>259</v>
      </c>
      <c r="B53" s="69"/>
      <c r="C53" s="53"/>
      <c r="D53" s="42">
        <v>1</v>
      </c>
      <c r="E53" s="42">
        <f>D53*$F$5</f>
        <v>17991</v>
      </c>
      <c r="F53" s="53"/>
      <c r="G53" s="60"/>
      <c r="H53" s="60"/>
      <c r="I53" s="60"/>
      <c r="J53" s="60"/>
      <c r="K53" s="60"/>
      <c r="L53" s="50">
        <f>$D53*$B$5</f>
        <v>7854</v>
      </c>
      <c r="M53" s="50"/>
      <c r="N53" s="50">
        <f>$D53*$C$5</f>
        <v>7822</v>
      </c>
      <c r="O53" s="50">
        <f>$D53*$D$5</f>
        <v>874</v>
      </c>
      <c r="P53" s="50">
        <f>$D53*$E$5</f>
        <v>1441</v>
      </c>
      <c r="Q53" s="50"/>
      <c r="R53" s="85"/>
      <c r="T53" s="67"/>
      <c r="U53" s="67"/>
      <c r="V53" s="67"/>
      <c r="W53" s="67"/>
    </row>
    <row r="54" spans="1:23" s="34" customFormat="1" ht="31.5" customHeight="1" x14ac:dyDescent="0.3">
      <c r="A54" s="53" t="s">
        <v>221</v>
      </c>
      <c r="B54" s="69"/>
      <c r="C54" s="53"/>
      <c r="D54" s="42">
        <v>1</v>
      </c>
      <c r="E54" s="42">
        <f>D54*$F$6</f>
        <v>11402</v>
      </c>
      <c r="F54" s="53"/>
      <c r="G54" s="60"/>
      <c r="H54" s="60"/>
      <c r="I54" s="60"/>
      <c r="J54" s="60"/>
      <c r="K54" s="60"/>
      <c r="L54" s="50">
        <f>$D54*$B$6</f>
        <v>1265</v>
      </c>
      <c r="M54" s="50"/>
      <c r="N54" s="50">
        <f>$D54*$C$6</f>
        <v>7822</v>
      </c>
      <c r="O54" s="50">
        <f>$D54*$D$6</f>
        <v>874</v>
      </c>
      <c r="P54" s="50">
        <f>$D54*$E$6</f>
        <v>1441</v>
      </c>
      <c r="Q54" s="50"/>
      <c r="R54" s="85"/>
      <c r="T54" s="67"/>
      <c r="U54" s="67"/>
      <c r="V54" s="67"/>
      <c r="W54" s="67"/>
    </row>
    <row r="55" spans="1:23" s="34" customFormat="1" x14ac:dyDescent="0.3">
      <c r="A55" s="62" t="s">
        <v>258</v>
      </c>
      <c r="B55" s="79"/>
      <c r="C55" s="53"/>
      <c r="D55" s="42"/>
      <c r="E55" s="42"/>
      <c r="F55" s="53"/>
      <c r="G55" s="60"/>
      <c r="H55" s="60"/>
      <c r="I55" s="60"/>
      <c r="J55" s="71">
        <f>ROUND(SUM(J56:J65),0)</f>
        <v>2488710</v>
      </c>
      <c r="K55" s="71">
        <f>ROUND(SUM(K56:K65),0)</f>
        <v>587087</v>
      </c>
      <c r="L55" s="71">
        <f>ROUND(SUM(L56:L65),0)</f>
        <v>52184</v>
      </c>
      <c r="M55" s="56">
        <v>4737</v>
      </c>
      <c r="N55" s="71">
        <f>ROUND(SUM(N56:N65),0)</f>
        <v>78220</v>
      </c>
      <c r="O55" s="71">
        <f>ROUND(SUM(O56:O65),0)</f>
        <v>8740</v>
      </c>
      <c r="P55" s="71">
        <f>ROUND(SUM(P56:P65),0)</f>
        <v>14410</v>
      </c>
      <c r="Q55" s="71"/>
      <c r="R55" s="87">
        <f>SUM(J55:P55)</f>
        <v>3234088</v>
      </c>
      <c r="S55" s="89"/>
      <c r="T55" s="88">
        <v>2572006</v>
      </c>
      <c r="U55" s="88">
        <f>138905-V55</f>
        <v>69902</v>
      </c>
      <c r="V55" s="88">
        <v>69003</v>
      </c>
      <c r="W55" s="64">
        <v>2710911</v>
      </c>
    </row>
    <row r="56" spans="1:23" s="34" customFormat="1" x14ac:dyDescent="0.3">
      <c r="A56" s="62" t="s">
        <v>210</v>
      </c>
      <c r="B56" s="63">
        <f>4.75*C56</f>
        <v>47.5</v>
      </c>
      <c r="C56" s="63">
        <f>SUM(D58:D65)</f>
        <v>10</v>
      </c>
      <c r="D56" s="42"/>
      <c r="E56" s="63">
        <f>SUM(E58:E65)</f>
        <v>153554</v>
      </c>
      <c r="F56" s="61">
        <v>2083</v>
      </c>
      <c r="G56" s="60">
        <f>C56*F56*3.17*12</f>
        <v>792373.2</v>
      </c>
      <c r="H56" s="60">
        <f>C56*F56*1.58*1.75*12</f>
        <v>691139.4</v>
      </c>
      <c r="I56" s="60">
        <f>C56*F56*0.19*12</f>
        <v>47492.4</v>
      </c>
      <c r="J56" s="60">
        <f>G56+H56+I56</f>
        <v>1531005</v>
      </c>
      <c r="K56" s="60">
        <f>J56*$K$9</f>
        <v>361164.07949999999</v>
      </c>
      <c r="L56" s="60"/>
      <c r="M56" s="60"/>
      <c r="N56" s="60"/>
      <c r="O56" s="60"/>
      <c r="P56" s="60"/>
      <c r="Q56" s="60"/>
      <c r="R56" s="83"/>
      <c r="T56" s="67"/>
      <c r="U56" s="67"/>
      <c r="V56" s="67"/>
      <c r="W56" s="67"/>
    </row>
    <row r="57" spans="1:23" s="34" customFormat="1" x14ac:dyDescent="0.3">
      <c r="A57" s="62" t="s">
        <v>72</v>
      </c>
      <c r="B57" s="63">
        <f>4.75*C57</f>
        <v>47.5</v>
      </c>
      <c r="C57" s="63">
        <f>C56</f>
        <v>10</v>
      </c>
      <c r="D57" s="42"/>
      <c r="E57" s="42"/>
      <c r="F57" s="61">
        <v>1303</v>
      </c>
      <c r="G57" s="60">
        <f>C57*F57*3.17*12</f>
        <v>495661.19999999995</v>
      </c>
      <c r="H57" s="60">
        <f>C57*F57*1.58*1.75*12</f>
        <v>432335.4</v>
      </c>
      <c r="I57" s="60">
        <f>C57*F57*0.19*12</f>
        <v>29708.399999999998</v>
      </c>
      <c r="J57" s="60">
        <f>G57+H57+I57</f>
        <v>957705</v>
      </c>
      <c r="K57" s="60">
        <f>J57*$K$9</f>
        <v>225922.60949999999</v>
      </c>
      <c r="L57" s="60"/>
      <c r="M57" s="60"/>
      <c r="N57" s="60"/>
      <c r="O57" s="60"/>
      <c r="P57" s="60"/>
      <c r="Q57" s="60"/>
      <c r="R57" s="83"/>
      <c r="T57" s="67"/>
      <c r="U57" s="67"/>
      <c r="V57" s="67"/>
      <c r="W57" s="67"/>
    </row>
    <row r="58" spans="1:23" s="34" customFormat="1" x14ac:dyDescent="0.3">
      <c r="A58" s="53" t="s">
        <v>213</v>
      </c>
      <c r="B58" s="79"/>
      <c r="C58" s="69"/>
      <c r="D58" s="42">
        <v>1</v>
      </c>
      <c r="E58" s="42">
        <f>D58*$F$5</f>
        <v>17991</v>
      </c>
      <c r="F58" s="53"/>
      <c r="G58" s="60"/>
      <c r="H58" s="60"/>
      <c r="I58" s="60"/>
      <c r="J58" s="60"/>
      <c r="K58" s="60"/>
      <c r="L58" s="50">
        <f>$D58*$B$5</f>
        <v>7854</v>
      </c>
      <c r="M58" s="50"/>
      <c r="N58" s="50">
        <f>$D58*$C$5</f>
        <v>7822</v>
      </c>
      <c r="O58" s="50">
        <f>$D58*$D$5</f>
        <v>874</v>
      </c>
      <c r="P58" s="50">
        <f>$D58*$E$5</f>
        <v>1441</v>
      </c>
      <c r="Q58" s="50"/>
      <c r="R58" s="83"/>
      <c r="S58" s="36"/>
      <c r="T58" s="67"/>
      <c r="U58" s="67"/>
      <c r="V58" s="67"/>
      <c r="W58" s="67"/>
    </row>
    <row r="59" spans="1:23" s="34" customFormat="1" ht="28" x14ac:dyDescent="0.3">
      <c r="A59" s="58" t="s">
        <v>250</v>
      </c>
      <c r="B59" s="79"/>
      <c r="C59" s="69"/>
      <c r="D59" s="42">
        <v>2</v>
      </c>
      <c r="E59" s="42">
        <f>D59*$F$5</f>
        <v>35982</v>
      </c>
      <c r="F59" s="53"/>
      <c r="G59" s="60"/>
      <c r="H59" s="60"/>
      <c r="I59" s="60"/>
      <c r="J59" s="60"/>
      <c r="K59" s="60"/>
      <c r="L59" s="50">
        <f>$D59*$B$5</f>
        <v>15708</v>
      </c>
      <c r="M59" s="50"/>
      <c r="N59" s="50">
        <f>$D59*$C$5</f>
        <v>15644</v>
      </c>
      <c r="O59" s="50">
        <f>$D59*$D$5</f>
        <v>1748</v>
      </c>
      <c r="P59" s="50">
        <f>$D59*$E$5</f>
        <v>2882</v>
      </c>
      <c r="Q59" s="50"/>
      <c r="R59" s="83"/>
      <c r="T59" s="67"/>
      <c r="U59" s="67"/>
      <c r="V59" s="67"/>
      <c r="W59" s="67"/>
    </row>
    <row r="60" spans="1:23" s="34" customFormat="1" x14ac:dyDescent="0.3">
      <c r="A60" s="58" t="s">
        <v>214</v>
      </c>
      <c r="B60" s="79"/>
      <c r="C60" s="69"/>
      <c r="D60" s="42">
        <v>1</v>
      </c>
      <c r="E60" s="42">
        <f>D60*$F$5</f>
        <v>17991</v>
      </c>
      <c r="F60" s="53"/>
      <c r="G60" s="60"/>
      <c r="H60" s="60"/>
      <c r="I60" s="60"/>
      <c r="J60" s="60"/>
      <c r="K60" s="60"/>
      <c r="L60" s="50">
        <f>$D60*$B$5</f>
        <v>7854</v>
      </c>
      <c r="M60" s="50"/>
      <c r="N60" s="50">
        <f>$D60*$C$5</f>
        <v>7822</v>
      </c>
      <c r="O60" s="50">
        <f>$D60*$D$5</f>
        <v>874</v>
      </c>
      <c r="P60" s="50">
        <f>$D60*$E$5</f>
        <v>1441</v>
      </c>
      <c r="Q60" s="50"/>
      <c r="R60" s="83"/>
      <c r="T60" s="67"/>
      <c r="U60" s="67"/>
      <c r="V60" s="67"/>
      <c r="W60" s="67"/>
    </row>
    <row r="61" spans="1:23" s="34" customFormat="1" x14ac:dyDescent="0.3">
      <c r="A61" s="53" t="s">
        <v>211</v>
      </c>
      <c r="B61" s="79"/>
      <c r="C61" s="69"/>
      <c r="D61" s="42">
        <v>2</v>
      </c>
      <c r="E61" s="42">
        <f>D61*$F$6</f>
        <v>22804</v>
      </c>
      <c r="F61" s="53"/>
      <c r="G61" s="60"/>
      <c r="H61" s="60"/>
      <c r="I61" s="60"/>
      <c r="J61" s="60"/>
      <c r="K61" s="60"/>
      <c r="L61" s="50">
        <f>$D61*$B$6</f>
        <v>2530</v>
      </c>
      <c r="M61" s="50"/>
      <c r="N61" s="50">
        <f>$D61*$C$6</f>
        <v>15644</v>
      </c>
      <c r="O61" s="50">
        <f>$D61*$D$6</f>
        <v>1748</v>
      </c>
      <c r="P61" s="50">
        <f>$D61*$E$6</f>
        <v>2882</v>
      </c>
      <c r="Q61" s="50"/>
      <c r="R61" s="83"/>
      <c r="T61" s="67"/>
      <c r="U61" s="67"/>
      <c r="V61" s="67"/>
      <c r="W61" s="67"/>
    </row>
    <row r="62" spans="1:23" s="34" customFormat="1" x14ac:dyDescent="0.3">
      <c r="A62" s="58" t="s">
        <v>248</v>
      </c>
      <c r="B62" s="79"/>
      <c r="C62" s="69"/>
      <c r="D62" s="42">
        <v>1</v>
      </c>
      <c r="E62" s="42">
        <f>D62*$F$5</f>
        <v>17991</v>
      </c>
      <c r="F62" s="53"/>
      <c r="G62" s="60"/>
      <c r="H62" s="60"/>
      <c r="I62" s="60"/>
      <c r="J62" s="60"/>
      <c r="K62" s="60"/>
      <c r="L62" s="50">
        <f>$D62*$B$5</f>
        <v>7854</v>
      </c>
      <c r="M62" s="50"/>
      <c r="N62" s="50">
        <f>$D62*$C$5</f>
        <v>7822</v>
      </c>
      <c r="O62" s="50">
        <f>$D62*$D$5</f>
        <v>874</v>
      </c>
      <c r="P62" s="50">
        <f>$D62*$E$5</f>
        <v>1441</v>
      </c>
      <c r="Q62" s="50"/>
      <c r="R62" s="83"/>
      <c r="T62" s="67"/>
      <c r="U62" s="67"/>
      <c r="V62" s="67"/>
      <c r="W62" s="67"/>
    </row>
    <row r="63" spans="1:23" s="34" customFormat="1" x14ac:dyDescent="0.3">
      <c r="A63" s="58" t="s">
        <v>249</v>
      </c>
      <c r="B63" s="79"/>
      <c r="C63" s="69"/>
      <c r="D63" s="42">
        <v>1</v>
      </c>
      <c r="E63" s="42">
        <f>D63*$F$5</f>
        <v>17991</v>
      </c>
      <c r="F63" s="53"/>
      <c r="G63" s="60"/>
      <c r="H63" s="60"/>
      <c r="I63" s="60"/>
      <c r="J63" s="60"/>
      <c r="K63" s="60"/>
      <c r="L63" s="50">
        <f>$D63*$B$5</f>
        <v>7854</v>
      </c>
      <c r="M63" s="50"/>
      <c r="N63" s="50">
        <f>$D63*$C$5</f>
        <v>7822</v>
      </c>
      <c r="O63" s="50">
        <f>$D63*$D$5</f>
        <v>874</v>
      </c>
      <c r="P63" s="50">
        <f>$D63*$E$5</f>
        <v>1441</v>
      </c>
      <c r="Q63" s="50"/>
      <c r="R63" s="83"/>
      <c r="T63" s="67"/>
      <c r="U63" s="67"/>
      <c r="V63" s="67"/>
      <c r="W63" s="67"/>
    </row>
    <row r="64" spans="1:23" s="34" customFormat="1" x14ac:dyDescent="0.3">
      <c r="A64" s="58" t="s">
        <v>212</v>
      </c>
      <c r="B64" s="79"/>
      <c r="C64" s="69"/>
      <c r="D64" s="42">
        <v>1</v>
      </c>
      <c r="E64" s="42">
        <f>D64*$F$6</f>
        <v>11402</v>
      </c>
      <c r="F64" s="53"/>
      <c r="G64" s="60"/>
      <c r="H64" s="60"/>
      <c r="I64" s="60"/>
      <c r="J64" s="60"/>
      <c r="K64" s="60"/>
      <c r="L64" s="50">
        <f>$D64*$B$6</f>
        <v>1265</v>
      </c>
      <c r="M64" s="50"/>
      <c r="N64" s="50">
        <f>$D64*$C$6</f>
        <v>7822</v>
      </c>
      <c r="O64" s="50">
        <f>$D64*$D$6</f>
        <v>874</v>
      </c>
      <c r="P64" s="50">
        <f>$D64*$E$6</f>
        <v>1441</v>
      </c>
      <c r="Q64" s="50"/>
      <c r="R64" s="83"/>
      <c r="T64" s="67"/>
      <c r="U64" s="67"/>
      <c r="V64" s="67"/>
      <c r="W64" s="67"/>
    </row>
    <row r="65" spans="1:23" s="34" customFormat="1" x14ac:dyDescent="0.3">
      <c r="A65" s="53" t="s">
        <v>221</v>
      </c>
      <c r="B65" s="79"/>
      <c r="C65" s="69"/>
      <c r="D65" s="42">
        <v>1</v>
      </c>
      <c r="E65" s="42">
        <f>D65*$F$6</f>
        <v>11402</v>
      </c>
      <c r="F65" s="53"/>
      <c r="G65" s="60"/>
      <c r="H65" s="60"/>
      <c r="I65" s="60"/>
      <c r="J65" s="60"/>
      <c r="K65" s="60"/>
      <c r="L65" s="50">
        <f>$D65*$B$6</f>
        <v>1265</v>
      </c>
      <c r="M65" s="31"/>
      <c r="N65" s="50">
        <f>$D65*$C$6</f>
        <v>7822</v>
      </c>
      <c r="O65" s="50">
        <f>$D65*$D$6</f>
        <v>874</v>
      </c>
      <c r="P65" s="50">
        <f>$D65*$E$6</f>
        <v>1441</v>
      </c>
      <c r="Q65" s="50"/>
      <c r="R65" s="83"/>
      <c r="T65" s="67"/>
      <c r="U65" s="67"/>
      <c r="V65" s="67"/>
      <c r="W65" s="67"/>
    </row>
    <row r="66" spans="1:23" s="34" customFormat="1" x14ac:dyDescent="0.3">
      <c r="A66" s="62" t="s">
        <v>257</v>
      </c>
      <c r="B66" s="69"/>
      <c r="C66" s="69"/>
      <c r="D66" s="42"/>
      <c r="E66" s="42"/>
      <c r="F66" s="53"/>
      <c r="G66" s="60"/>
      <c r="H66" s="60"/>
      <c r="I66" s="60"/>
      <c r="J66" s="71">
        <f>ROUND(SUM(J67:J77),0)</f>
        <v>2986452</v>
      </c>
      <c r="K66" s="71">
        <f>ROUND(SUM(K67:K77),0)</f>
        <v>704504</v>
      </c>
      <c r="L66" s="71">
        <f>ROUND(SUM(L67:L77),0)</f>
        <v>74481</v>
      </c>
      <c r="M66" s="56">
        <v>5239</v>
      </c>
      <c r="N66" s="71">
        <f>ROUND(SUM(N67:N77),0)</f>
        <v>93864</v>
      </c>
      <c r="O66" s="71">
        <f>ROUND(SUM(O67:O77),0)</f>
        <v>10488</v>
      </c>
      <c r="P66" s="71">
        <f>ROUND(SUM(P67:P77),0)</f>
        <v>17292</v>
      </c>
      <c r="Q66" s="71"/>
      <c r="R66" s="87">
        <f>SUM(J66:P66)</f>
        <v>3892320</v>
      </c>
      <c r="T66" s="64">
        <v>3429341</v>
      </c>
      <c r="U66" s="64">
        <v>102261</v>
      </c>
      <c r="V66" s="64">
        <v>97243</v>
      </c>
      <c r="W66" s="64">
        <v>3628845</v>
      </c>
    </row>
    <row r="67" spans="1:23" s="34" customFormat="1" x14ac:dyDescent="0.3">
      <c r="A67" s="62" t="s">
        <v>210</v>
      </c>
      <c r="B67" s="63">
        <f>4.75*C67</f>
        <v>57</v>
      </c>
      <c r="C67" s="63">
        <f>SUM(D69:D77)</f>
        <v>12</v>
      </c>
      <c r="D67" s="42"/>
      <c r="E67" s="63">
        <f>SUM(E69:E77)</f>
        <v>196125</v>
      </c>
      <c r="F67" s="61">
        <v>2083</v>
      </c>
      <c r="G67" s="60">
        <f>C67*F67*3.17*12</f>
        <v>950847.83999999985</v>
      </c>
      <c r="H67" s="60">
        <f>C67*F67*1.58*1.75*12</f>
        <v>829367.28</v>
      </c>
      <c r="I67" s="60">
        <f>C67*F67*0.19*12</f>
        <v>56990.879999999997</v>
      </c>
      <c r="J67" s="60">
        <f>G67+H67+I67</f>
        <v>1837205.9999999998</v>
      </c>
      <c r="K67" s="60">
        <f>J67*$K$9</f>
        <v>433396.89539999992</v>
      </c>
      <c r="L67" s="60"/>
      <c r="M67" s="60"/>
      <c r="N67" s="60"/>
      <c r="O67" s="60"/>
      <c r="P67" s="60"/>
      <c r="Q67" s="60"/>
      <c r="R67" s="83"/>
      <c r="T67" s="67"/>
      <c r="U67" s="67"/>
      <c r="V67" s="67"/>
      <c r="W67" s="67"/>
    </row>
    <row r="68" spans="1:23" s="34" customFormat="1" x14ac:dyDescent="0.3">
      <c r="A68" s="62" t="s">
        <v>72</v>
      </c>
      <c r="B68" s="63">
        <f>4.75*C68</f>
        <v>57</v>
      </c>
      <c r="C68" s="63">
        <f>C67</f>
        <v>12</v>
      </c>
      <c r="D68" s="42"/>
      <c r="E68" s="42"/>
      <c r="F68" s="61">
        <v>1303</v>
      </c>
      <c r="G68" s="60">
        <f>C68*F68*3.17*12</f>
        <v>594793.43999999994</v>
      </c>
      <c r="H68" s="60">
        <f>C68*F68*1.58*1.75*12</f>
        <v>518802.48</v>
      </c>
      <c r="I68" s="60">
        <f>C68*F68*0.19*12</f>
        <v>35650.080000000002</v>
      </c>
      <c r="J68" s="60">
        <f>G68+H68+I68</f>
        <v>1149246</v>
      </c>
      <c r="K68" s="60">
        <f>J68*$K$9</f>
        <v>271107.13140000001</v>
      </c>
      <c r="L68" s="60"/>
      <c r="M68" s="60"/>
      <c r="N68" s="60"/>
      <c r="O68" s="60"/>
      <c r="P68" s="60"/>
      <c r="Q68" s="60"/>
      <c r="R68" s="83"/>
      <c r="T68" s="67"/>
      <c r="U68" s="67"/>
      <c r="V68" s="67"/>
      <c r="W68" s="67"/>
    </row>
    <row r="69" spans="1:23" s="34" customFormat="1" x14ac:dyDescent="0.3">
      <c r="A69" s="53" t="s">
        <v>213</v>
      </c>
      <c r="B69" s="79"/>
      <c r="C69" s="69"/>
      <c r="D69" s="42">
        <v>2</v>
      </c>
      <c r="E69" s="42">
        <f>D69*$F$5</f>
        <v>35982</v>
      </c>
      <c r="F69" s="53"/>
      <c r="G69" s="60"/>
      <c r="H69" s="60"/>
      <c r="I69" s="60"/>
      <c r="J69" s="60"/>
      <c r="K69" s="60"/>
      <c r="L69" s="50">
        <f>$D69*$B$5</f>
        <v>15708</v>
      </c>
      <c r="M69" s="50"/>
      <c r="N69" s="50">
        <f>$D69*$C$5</f>
        <v>15644</v>
      </c>
      <c r="O69" s="50">
        <f>$D69*$D$5</f>
        <v>1748</v>
      </c>
      <c r="P69" s="50">
        <f>$D69*$E$5</f>
        <v>2882</v>
      </c>
      <c r="Q69" s="50"/>
      <c r="R69" s="83"/>
      <c r="S69" s="36"/>
      <c r="T69" s="67"/>
      <c r="U69" s="67"/>
      <c r="V69" s="67"/>
      <c r="W69" s="67"/>
    </row>
    <row r="70" spans="1:23" s="34" customFormat="1" ht="28" x14ac:dyDescent="0.3">
      <c r="A70" s="58" t="s">
        <v>250</v>
      </c>
      <c r="B70" s="79"/>
      <c r="C70" s="69"/>
      <c r="D70" s="42">
        <v>3</v>
      </c>
      <c r="E70" s="42">
        <f>D70*$F$5</f>
        <v>53973</v>
      </c>
      <c r="F70" s="53"/>
      <c r="G70" s="60"/>
      <c r="H70" s="60"/>
      <c r="I70" s="60"/>
      <c r="J70" s="60"/>
      <c r="K70" s="60"/>
      <c r="L70" s="50">
        <f>$D70*$B$5</f>
        <v>23562</v>
      </c>
      <c r="M70" s="50"/>
      <c r="N70" s="50">
        <f>$D70*$C$5</f>
        <v>23466</v>
      </c>
      <c r="O70" s="50">
        <f>$D70*$D$5</f>
        <v>2622</v>
      </c>
      <c r="P70" s="50">
        <f>$D70*$E$5</f>
        <v>4323</v>
      </c>
      <c r="Q70" s="50"/>
      <c r="R70" s="83"/>
      <c r="T70" s="67"/>
      <c r="U70" s="67"/>
      <c r="V70" s="67"/>
      <c r="W70" s="67"/>
    </row>
    <row r="71" spans="1:23" s="34" customFormat="1" ht="15.5" x14ac:dyDescent="0.3">
      <c r="A71" s="53" t="s">
        <v>256</v>
      </c>
      <c r="B71" s="86"/>
      <c r="C71" s="53"/>
      <c r="D71" s="42">
        <v>1</v>
      </c>
      <c r="E71" s="42">
        <f>D71*$F$5</f>
        <v>17991</v>
      </c>
      <c r="F71" s="53"/>
      <c r="G71" s="60"/>
      <c r="H71" s="60"/>
      <c r="I71" s="60"/>
      <c r="J71" s="60"/>
      <c r="K71" s="60"/>
      <c r="L71" s="50">
        <f>$D71*$B$5</f>
        <v>7854</v>
      </c>
      <c r="M71" s="50"/>
      <c r="N71" s="50">
        <f>$D71*$C$5</f>
        <v>7822</v>
      </c>
      <c r="O71" s="50">
        <f>$D71*$D$5</f>
        <v>874</v>
      </c>
      <c r="P71" s="50">
        <f>$D71*$E$5</f>
        <v>1441</v>
      </c>
      <c r="Q71" s="50"/>
      <c r="R71" s="83"/>
      <c r="T71" s="67"/>
      <c r="U71" s="67"/>
      <c r="V71" s="67"/>
      <c r="W71" s="67"/>
    </row>
    <row r="72" spans="1:23" s="34" customFormat="1" x14ac:dyDescent="0.3">
      <c r="A72" s="58" t="s">
        <v>214</v>
      </c>
      <c r="B72" s="79"/>
      <c r="C72" s="69"/>
      <c r="D72" s="42">
        <v>1</v>
      </c>
      <c r="E72" s="42">
        <f>D72*$F$5</f>
        <v>17991</v>
      </c>
      <c r="F72" s="53"/>
      <c r="G72" s="60"/>
      <c r="H72" s="60"/>
      <c r="I72" s="60"/>
      <c r="J72" s="60"/>
      <c r="K72" s="60"/>
      <c r="L72" s="50">
        <f>$D72*$B$5</f>
        <v>7854</v>
      </c>
      <c r="M72" s="50"/>
      <c r="N72" s="50">
        <f>$D72*$C$5</f>
        <v>7822</v>
      </c>
      <c r="O72" s="50">
        <f>$D72*$D$5</f>
        <v>874</v>
      </c>
      <c r="P72" s="50">
        <f>$D72*$E$5</f>
        <v>1441</v>
      </c>
      <c r="Q72" s="50"/>
      <c r="R72" s="83"/>
      <c r="T72" s="67"/>
      <c r="U72" s="67"/>
      <c r="V72" s="67"/>
      <c r="W72" s="67"/>
    </row>
    <row r="73" spans="1:23" s="34" customFormat="1" x14ac:dyDescent="0.3">
      <c r="A73" s="53" t="s">
        <v>211</v>
      </c>
      <c r="B73" s="79"/>
      <c r="C73" s="69"/>
      <c r="D73" s="42">
        <v>1</v>
      </c>
      <c r="E73" s="42">
        <f>D73*$F$6</f>
        <v>11402</v>
      </c>
      <c r="F73" s="53"/>
      <c r="G73" s="60"/>
      <c r="H73" s="60"/>
      <c r="I73" s="60"/>
      <c r="J73" s="60"/>
      <c r="K73" s="60"/>
      <c r="L73" s="50">
        <f>$D73*$B$6</f>
        <v>1265</v>
      </c>
      <c r="M73" s="50"/>
      <c r="N73" s="50">
        <f>$D73*$C$6</f>
        <v>7822</v>
      </c>
      <c r="O73" s="50">
        <f>$D73*$D$6</f>
        <v>874</v>
      </c>
      <c r="P73" s="50">
        <f>$D73*$E$6</f>
        <v>1441</v>
      </c>
      <c r="Q73" s="50"/>
      <c r="R73" s="83"/>
      <c r="T73" s="67"/>
      <c r="U73" s="67"/>
      <c r="V73" s="67"/>
      <c r="W73" s="67"/>
    </row>
    <row r="74" spans="1:23" s="34" customFormat="1" x14ac:dyDescent="0.3">
      <c r="A74" s="58" t="s">
        <v>249</v>
      </c>
      <c r="B74" s="79"/>
      <c r="C74" s="69"/>
      <c r="D74" s="42">
        <v>1</v>
      </c>
      <c r="E74" s="42">
        <f>D74*$F$5</f>
        <v>17991</v>
      </c>
      <c r="F74" s="53"/>
      <c r="G74" s="60"/>
      <c r="H74" s="60"/>
      <c r="I74" s="60"/>
      <c r="J74" s="60"/>
      <c r="K74" s="60"/>
      <c r="L74" s="50">
        <f>$D74*$B$5</f>
        <v>7854</v>
      </c>
      <c r="M74" s="50"/>
      <c r="N74" s="50">
        <f>$D74*$C$5</f>
        <v>7822</v>
      </c>
      <c r="O74" s="50">
        <f>$D74*$D$5</f>
        <v>874</v>
      </c>
      <c r="P74" s="50">
        <f>$D74*$E$5</f>
        <v>1441</v>
      </c>
      <c r="Q74" s="50"/>
      <c r="R74" s="83"/>
      <c r="T74" s="67"/>
      <c r="U74" s="67"/>
      <c r="V74" s="67"/>
      <c r="W74" s="67"/>
    </row>
    <row r="75" spans="1:23" s="34" customFormat="1" x14ac:dyDescent="0.3">
      <c r="A75" s="58" t="s">
        <v>212</v>
      </c>
      <c r="B75" s="79"/>
      <c r="C75" s="69"/>
      <c r="D75" s="42">
        <v>1</v>
      </c>
      <c r="E75" s="42">
        <f>D75*$F$6</f>
        <v>11402</v>
      </c>
      <c r="F75" s="53"/>
      <c r="G75" s="60"/>
      <c r="H75" s="60"/>
      <c r="I75" s="60"/>
      <c r="J75" s="60"/>
      <c r="K75" s="60"/>
      <c r="L75" s="50">
        <f>$D75*$B$6</f>
        <v>1265</v>
      </c>
      <c r="M75" s="50"/>
      <c r="N75" s="50">
        <f>$D75*$C$6</f>
        <v>7822</v>
      </c>
      <c r="O75" s="50">
        <f>$D75*$D$6</f>
        <v>874</v>
      </c>
      <c r="P75" s="50">
        <f>$D75*$E$6</f>
        <v>1441</v>
      </c>
      <c r="Q75" s="50"/>
      <c r="R75" s="83"/>
      <c r="T75" s="67"/>
      <c r="U75" s="67"/>
      <c r="V75" s="67"/>
      <c r="W75" s="67"/>
    </row>
    <row r="76" spans="1:23" s="34" customFormat="1" x14ac:dyDescent="0.3">
      <c r="A76" s="58" t="s">
        <v>248</v>
      </c>
      <c r="B76" s="79"/>
      <c r="C76" s="69"/>
      <c r="D76" s="42">
        <v>1</v>
      </c>
      <c r="E76" s="42">
        <f>D76*$F$5</f>
        <v>17991</v>
      </c>
      <c r="F76" s="53"/>
      <c r="G76" s="60"/>
      <c r="H76" s="60"/>
      <c r="I76" s="60"/>
      <c r="J76" s="60"/>
      <c r="K76" s="60"/>
      <c r="L76" s="50">
        <f>$D76*$B$5</f>
        <v>7854</v>
      </c>
      <c r="M76" s="50"/>
      <c r="N76" s="50">
        <f>$D76*$C$5</f>
        <v>7822</v>
      </c>
      <c r="O76" s="50">
        <f>$D76*$D$5</f>
        <v>874</v>
      </c>
      <c r="P76" s="50">
        <f>$D76*$E$5</f>
        <v>1441</v>
      </c>
      <c r="Q76" s="50"/>
      <c r="R76" s="83"/>
      <c r="T76" s="67"/>
      <c r="U76" s="67"/>
      <c r="V76" s="67"/>
      <c r="W76" s="67"/>
    </row>
    <row r="77" spans="1:23" s="34" customFormat="1" x14ac:dyDescent="0.3">
      <c r="A77" s="53" t="s">
        <v>221</v>
      </c>
      <c r="B77" s="69"/>
      <c r="C77" s="69"/>
      <c r="D77" s="42">
        <v>1</v>
      </c>
      <c r="E77" s="42">
        <f>D77*$F$6</f>
        <v>11402</v>
      </c>
      <c r="F77" s="53"/>
      <c r="G77" s="84"/>
      <c r="H77" s="84"/>
      <c r="I77" s="70"/>
      <c r="J77" s="46"/>
      <c r="K77" s="60"/>
      <c r="L77" s="50">
        <f>$D77*$B$6</f>
        <v>1265</v>
      </c>
      <c r="M77" s="31"/>
      <c r="N77" s="50">
        <f>$D77*$C$6</f>
        <v>7822</v>
      </c>
      <c r="O77" s="50">
        <f>$D77*$D$6</f>
        <v>874</v>
      </c>
      <c r="P77" s="50">
        <f>$D77*$E$6</f>
        <v>1441</v>
      </c>
      <c r="Q77" s="50"/>
      <c r="R77" s="83"/>
      <c r="T77" s="67"/>
      <c r="U77" s="67"/>
      <c r="V77" s="67"/>
      <c r="W77" s="67"/>
    </row>
    <row r="78" spans="1:23" s="34" customFormat="1" x14ac:dyDescent="0.3">
      <c r="A78" s="62" t="s">
        <v>255</v>
      </c>
      <c r="B78" s="79"/>
      <c r="C78" s="69"/>
      <c r="D78" s="42"/>
      <c r="E78" s="42"/>
      <c r="F78" s="53"/>
      <c r="G78" s="60"/>
      <c r="H78" s="60"/>
      <c r="I78" s="60"/>
      <c r="J78" s="71">
        <f>ROUND(SUM(J79:J88),0)</f>
        <v>2737581</v>
      </c>
      <c r="K78" s="71">
        <f>ROUND(SUM(K79:K88),0)</f>
        <v>645795</v>
      </c>
      <c r="L78" s="71">
        <f>ROUND(SUM(L79:L88),0)</f>
        <v>66627</v>
      </c>
      <c r="M78" s="56">
        <v>5463</v>
      </c>
      <c r="N78" s="71">
        <f>ROUND(SUM(N79:N88),0)</f>
        <v>86042</v>
      </c>
      <c r="O78" s="71">
        <f>ROUND(SUM(O79:O88),0)</f>
        <v>9614</v>
      </c>
      <c r="P78" s="71">
        <f>ROUND(SUM(P79:P88),0)</f>
        <v>15851</v>
      </c>
      <c r="Q78" s="71"/>
      <c r="R78" s="65">
        <f>SUM(J78:P78)</f>
        <v>3566973</v>
      </c>
      <c r="T78" s="64">
        <v>3143562</v>
      </c>
      <c r="U78" s="64">
        <v>92092</v>
      </c>
      <c r="V78" s="64">
        <v>89800</v>
      </c>
      <c r="W78" s="64">
        <v>3325454</v>
      </c>
    </row>
    <row r="79" spans="1:23" s="34" customFormat="1" x14ac:dyDescent="0.3">
      <c r="A79" s="62" t="s">
        <v>210</v>
      </c>
      <c r="B79" s="63">
        <f>4.75*C79</f>
        <v>52.25</v>
      </c>
      <c r="C79" s="63">
        <f>SUM(D81:D88)</f>
        <v>11</v>
      </c>
      <c r="D79" s="42"/>
      <c r="E79" s="63">
        <f>SUM(E81:E88)</f>
        <v>178134</v>
      </c>
      <c r="F79" s="61">
        <v>2083</v>
      </c>
      <c r="G79" s="60">
        <f>C79*F79*3.17*12</f>
        <v>871610.5199999999</v>
      </c>
      <c r="H79" s="60">
        <f>C79*F79*1.58*1.75*12</f>
        <v>760253.34</v>
      </c>
      <c r="I79" s="60">
        <f>C79*F79*0.19*12</f>
        <v>52241.64</v>
      </c>
      <c r="J79" s="60">
        <f>G79+H79+I79</f>
        <v>1684105.4999999998</v>
      </c>
      <c r="K79" s="60">
        <f>J79*$K$9</f>
        <v>397280.48744999996</v>
      </c>
      <c r="L79" s="60"/>
      <c r="M79" s="60"/>
      <c r="N79" s="60"/>
      <c r="O79" s="60"/>
      <c r="P79" s="60"/>
      <c r="Q79" s="60"/>
      <c r="R79" s="83"/>
      <c r="T79" s="67"/>
      <c r="U79" s="67"/>
      <c r="V79" s="67"/>
      <c r="W79" s="67"/>
    </row>
    <row r="80" spans="1:23" s="34" customFormat="1" x14ac:dyDescent="0.3">
      <c r="A80" s="62" t="s">
        <v>72</v>
      </c>
      <c r="B80" s="63">
        <f>4.75*C80</f>
        <v>52.25</v>
      </c>
      <c r="C80" s="63">
        <f>C79</f>
        <v>11</v>
      </c>
      <c r="D80" s="42"/>
      <c r="E80" s="42"/>
      <c r="F80" s="61">
        <v>1303</v>
      </c>
      <c r="G80" s="60">
        <f>C80*F80*3.17*12</f>
        <v>545227.32000000007</v>
      </c>
      <c r="H80" s="60">
        <f>C80*F80*1.58*1.75*12</f>
        <v>475568.93999999994</v>
      </c>
      <c r="I80" s="60">
        <f>C80*F80*0.19*12</f>
        <v>32679.239999999998</v>
      </c>
      <c r="J80" s="60">
        <f>G80+H80+I80</f>
        <v>1053475.5</v>
      </c>
      <c r="K80" s="60">
        <f>J80*$K$9</f>
        <v>248514.87044999999</v>
      </c>
      <c r="L80" s="60"/>
      <c r="M80" s="60"/>
      <c r="N80" s="60"/>
      <c r="O80" s="60"/>
      <c r="P80" s="60"/>
      <c r="Q80" s="60"/>
      <c r="R80" s="83"/>
      <c r="T80" s="67"/>
      <c r="U80" s="67"/>
      <c r="V80" s="67"/>
      <c r="W80" s="67"/>
    </row>
    <row r="81" spans="1:23" s="34" customFormat="1" x14ac:dyDescent="0.3">
      <c r="A81" s="53" t="s">
        <v>213</v>
      </c>
      <c r="B81" s="69"/>
      <c r="C81" s="69"/>
      <c r="D81" s="42">
        <v>2</v>
      </c>
      <c r="E81" s="42">
        <f>D81*$F$5</f>
        <v>35982</v>
      </c>
      <c r="F81" s="53"/>
      <c r="G81" s="60"/>
      <c r="H81" s="60"/>
      <c r="I81" s="60"/>
      <c r="J81" s="60"/>
      <c r="K81" s="60"/>
      <c r="L81" s="50">
        <f>$D81*$B$5</f>
        <v>15708</v>
      </c>
      <c r="M81" s="50"/>
      <c r="N81" s="50">
        <f>$D81*$C$5</f>
        <v>15644</v>
      </c>
      <c r="O81" s="50">
        <f>$D81*$D$5</f>
        <v>1748</v>
      </c>
      <c r="P81" s="50">
        <f>$D81*$E$5</f>
        <v>2882</v>
      </c>
      <c r="Q81" s="50"/>
      <c r="R81" s="83"/>
      <c r="T81" s="67"/>
      <c r="U81" s="67"/>
      <c r="V81" s="67"/>
      <c r="W81" s="67"/>
    </row>
    <row r="82" spans="1:23" s="34" customFormat="1" ht="28" x14ac:dyDescent="0.3">
      <c r="A82" s="58" t="s">
        <v>250</v>
      </c>
      <c r="B82" s="69"/>
      <c r="C82" s="69"/>
      <c r="D82" s="42">
        <v>2</v>
      </c>
      <c r="E82" s="42">
        <f>D82*$F$5</f>
        <v>35982</v>
      </c>
      <c r="F82" s="53"/>
      <c r="G82" s="60"/>
      <c r="H82" s="60"/>
      <c r="I82" s="60"/>
      <c r="J82" s="60"/>
      <c r="K82" s="60"/>
      <c r="L82" s="50">
        <f>$D82*$B$5</f>
        <v>15708</v>
      </c>
      <c r="M82" s="50"/>
      <c r="N82" s="50">
        <f>$D82*$C$5</f>
        <v>15644</v>
      </c>
      <c r="O82" s="50">
        <f>$D82*$D$5</f>
        <v>1748</v>
      </c>
      <c r="P82" s="50">
        <f>$D82*$E$5</f>
        <v>2882</v>
      </c>
      <c r="Q82" s="50"/>
      <c r="R82" s="83"/>
      <c r="T82" s="67"/>
      <c r="U82" s="67"/>
      <c r="V82" s="67"/>
      <c r="W82" s="67"/>
    </row>
    <row r="83" spans="1:23" s="34" customFormat="1" x14ac:dyDescent="0.3">
      <c r="A83" s="58" t="s">
        <v>214</v>
      </c>
      <c r="B83" s="69"/>
      <c r="C83" s="69"/>
      <c r="D83" s="42">
        <v>2</v>
      </c>
      <c r="E83" s="42">
        <f>D83*$F$5</f>
        <v>35982</v>
      </c>
      <c r="F83" s="53"/>
      <c r="G83" s="60"/>
      <c r="H83" s="60"/>
      <c r="I83" s="60"/>
      <c r="J83" s="60"/>
      <c r="K83" s="60"/>
      <c r="L83" s="50">
        <f>$D83*$B$5</f>
        <v>15708</v>
      </c>
      <c r="M83" s="50"/>
      <c r="N83" s="50">
        <f>$D83*$C$5</f>
        <v>15644</v>
      </c>
      <c r="O83" s="50">
        <f>$D83*$D$5</f>
        <v>1748</v>
      </c>
      <c r="P83" s="50">
        <f>$D83*$E$5</f>
        <v>2882</v>
      </c>
      <c r="Q83" s="50"/>
      <c r="R83" s="83"/>
      <c r="T83" s="67"/>
      <c r="U83" s="67"/>
      <c r="V83" s="67"/>
      <c r="W83" s="67"/>
    </row>
    <row r="84" spans="1:23" s="34" customFormat="1" x14ac:dyDescent="0.3">
      <c r="A84" s="53" t="s">
        <v>211</v>
      </c>
      <c r="B84" s="69"/>
      <c r="C84" s="69"/>
      <c r="D84" s="42">
        <v>1</v>
      </c>
      <c r="E84" s="42">
        <f>D84*$F$6</f>
        <v>11402</v>
      </c>
      <c r="F84" s="53"/>
      <c r="G84" s="60"/>
      <c r="H84" s="60"/>
      <c r="I84" s="60"/>
      <c r="J84" s="60"/>
      <c r="K84" s="60"/>
      <c r="L84" s="50">
        <f>$D84*$B$6</f>
        <v>1265</v>
      </c>
      <c r="M84" s="50"/>
      <c r="N84" s="50">
        <f>$D84*$C$6</f>
        <v>7822</v>
      </c>
      <c r="O84" s="50">
        <f>$D84*$D$6</f>
        <v>874</v>
      </c>
      <c r="P84" s="50">
        <f>$D84*$E$6</f>
        <v>1441</v>
      </c>
      <c r="Q84" s="50"/>
      <c r="R84" s="83"/>
      <c r="T84" s="67"/>
      <c r="U84" s="67"/>
      <c r="V84" s="67"/>
      <c r="W84" s="67"/>
    </row>
    <row r="85" spans="1:23" s="34" customFormat="1" x14ac:dyDescent="0.3">
      <c r="A85" s="58" t="s">
        <v>249</v>
      </c>
      <c r="B85" s="69"/>
      <c r="C85" s="69"/>
      <c r="D85" s="42">
        <v>1</v>
      </c>
      <c r="E85" s="42">
        <f>D85*$F$5</f>
        <v>17991</v>
      </c>
      <c r="F85" s="53"/>
      <c r="G85" s="60"/>
      <c r="H85" s="60"/>
      <c r="I85" s="60"/>
      <c r="J85" s="60"/>
      <c r="K85" s="60"/>
      <c r="L85" s="50">
        <f>$D85*$B$5</f>
        <v>7854</v>
      </c>
      <c r="M85" s="50"/>
      <c r="N85" s="50">
        <f>$D85*$C$5</f>
        <v>7822</v>
      </c>
      <c r="O85" s="50">
        <f>$D85*$D$5</f>
        <v>874</v>
      </c>
      <c r="P85" s="50">
        <f>$D85*$E$5</f>
        <v>1441</v>
      </c>
      <c r="Q85" s="50"/>
      <c r="R85" s="83"/>
      <c r="T85" s="67"/>
      <c r="U85" s="67"/>
      <c r="V85" s="67"/>
      <c r="W85" s="67"/>
    </row>
    <row r="86" spans="1:23" s="34" customFormat="1" x14ac:dyDescent="0.3">
      <c r="A86" s="58" t="s">
        <v>212</v>
      </c>
      <c r="B86" s="69"/>
      <c r="C86" s="69"/>
      <c r="D86" s="42">
        <v>1</v>
      </c>
      <c r="E86" s="42">
        <f>D86*$F$6</f>
        <v>11402</v>
      </c>
      <c r="F86" s="53"/>
      <c r="G86" s="60"/>
      <c r="H86" s="60"/>
      <c r="I86" s="60"/>
      <c r="J86" s="60"/>
      <c r="K86" s="60"/>
      <c r="L86" s="50">
        <f>$D86*$B$6</f>
        <v>1265</v>
      </c>
      <c r="M86" s="50"/>
      <c r="N86" s="50">
        <f>$D86*$C$6</f>
        <v>7822</v>
      </c>
      <c r="O86" s="50">
        <f>$D86*$D$6</f>
        <v>874</v>
      </c>
      <c r="P86" s="50">
        <f>$D86*$E$6</f>
        <v>1441</v>
      </c>
      <c r="Q86" s="50"/>
      <c r="R86" s="83"/>
      <c r="T86" s="67"/>
      <c r="U86" s="67"/>
      <c r="V86" s="67"/>
      <c r="W86" s="67"/>
    </row>
    <row r="87" spans="1:23" s="34" customFormat="1" x14ac:dyDescent="0.3">
      <c r="A87" s="58" t="s">
        <v>248</v>
      </c>
      <c r="B87" s="69"/>
      <c r="C87" s="69"/>
      <c r="D87" s="42">
        <v>1</v>
      </c>
      <c r="E87" s="42">
        <f>D87*$F$5</f>
        <v>17991</v>
      </c>
      <c r="F87" s="53"/>
      <c r="G87" s="60"/>
      <c r="H87" s="60"/>
      <c r="I87" s="60"/>
      <c r="J87" s="60"/>
      <c r="K87" s="60"/>
      <c r="L87" s="50">
        <f>$D87*$B$5</f>
        <v>7854</v>
      </c>
      <c r="M87" s="50"/>
      <c r="N87" s="50">
        <f>$D87*$C$5</f>
        <v>7822</v>
      </c>
      <c r="O87" s="50">
        <f>$D87*$D$5</f>
        <v>874</v>
      </c>
      <c r="P87" s="50">
        <f>$D87*$E$5</f>
        <v>1441</v>
      </c>
      <c r="Q87" s="50"/>
      <c r="R87" s="83"/>
      <c r="T87" s="67"/>
      <c r="U87" s="67"/>
      <c r="V87" s="67"/>
      <c r="W87" s="67"/>
    </row>
    <row r="88" spans="1:23" s="34" customFormat="1" x14ac:dyDescent="0.3">
      <c r="A88" s="53" t="s">
        <v>221</v>
      </c>
      <c r="B88" s="69"/>
      <c r="C88" s="69"/>
      <c r="D88" s="42">
        <v>1</v>
      </c>
      <c r="E88" s="42">
        <f>D88*$F$6</f>
        <v>11402</v>
      </c>
      <c r="F88" s="53"/>
      <c r="G88" s="60"/>
      <c r="H88" s="60"/>
      <c r="I88" s="60"/>
      <c r="J88" s="60"/>
      <c r="K88" s="60"/>
      <c r="L88" s="50">
        <f>$D88*$B$6</f>
        <v>1265</v>
      </c>
      <c r="M88" s="50"/>
      <c r="N88" s="50">
        <f>$D88*$C$6</f>
        <v>7822</v>
      </c>
      <c r="O88" s="50">
        <f>$D88*$D$6</f>
        <v>874</v>
      </c>
      <c r="P88" s="50">
        <f>$D88*$E$6</f>
        <v>1441</v>
      </c>
      <c r="Q88" s="50"/>
      <c r="R88" s="83"/>
      <c r="T88" s="67"/>
      <c r="U88" s="67"/>
      <c r="V88" s="67"/>
      <c r="W88" s="67"/>
    </row>
    <row r="89" spans="1:23" s="34" customFormat="1" x14ac:dyDescent="0.3">
      <c r="A89" s="62" t="s">
        <v>254</v>
      </c>
      <c r="B89" s="69"/>
      <c r="C89" s="69"/>
      <c r="D89" s="42"/>
      <c r="E89" s="42"/>
      <c r="F89" s="53"/>
      <c r="G89" s="60"/>
      <c r="H89" s="60"/>
      <c r="I89" s="60"/>
      <c r="J89" s="71">
        <f>ROUND(SUM(J90:J99),0)</f>
        <v>1990968</v>
      </c>
      <c r="K89" s="71">
        <f>ROUND(SUM(K90:K99),0)</f>
        <v>469669</v>
      </c>
      <c r="L89" s="71">
        <f>ROUND(SUM(L90:L99),0)</f>
        <v>43065</v>
      </c>
      <c r="M89" s="56">
        <v>4541</v>
      </c>
      <c r="N89" s="71">
        <f>ROUND(SUM(N90:N99),0)</f>
        <v>62576</v>
      </c>
      <c r="O89" s="71">
        <f>ROUND(SUM(O90:O99),0)</f>
        <v>6992</v>
      </c>
      <c r="P89" s="71">
        <f>ROUND(SUM(P90:P99),0)</f>
        <v>11528</v>
      </c>
      <c r="Q89" s="71"/>
      <c r="R89" s="65">
        <f>SUM(J89:P89)</f>
        <v>2589339</v>
      </c>
      <c r="T89" s="64">
        <v>2286227</v>
      </c>
      <c r="U89" s="64">
        <v>61585</v>
      </c>
      <c r="V89" s="64">
        <v>65877</v>
      </c>
      <c r="W89" s="64">
        <v>2413689</v>
      </c>
    </row>
    <row r="90" spans="1:23" s="34" customFormat="1" x14ac:dyDescent="0.3">
      <c r="A90" s="62" t="s">
        <v>210</v>
      </c>
      <c r="B90" s="63">
        <f>4.75*8</f>
        <v>38</v>
      </c>
      <c r="C90" s="63">
        <f>SUM(D92:D99)</f>
        <v>8</v>
      </c>
      <c r="D90" s="42"/>
      <c r="E90" s="63">
        <f>SUM(E92:E99)</f>
        <v>124161</v>
      </c>
      <c r="F90" s="61">
        <v>2083</v>
      </c>
      <c r="G90" s="60">
        <f>C90*F90*3.17*12</f>
        <v>633898.55999999994</v>
      </c>
      <c r="H90" s="60">
        <f>C90*F90*1.58*1.75*12</f>
        <v>552911.52</v>
      </c>
      <c r="I90" s="60">
        <f>C90*F90*0.19*12</f>
        <v>37993.919999999998</v>
      </c>
      <c r="J90" s="60">
        <f>G90+H90+I90</f>
        <v>1224804</v>
      </c>
      <c r="K90" s="60">
        <f>J90*$K$9</f>
        <v>288931.26360000001</v>
      </c>
      <c r="L90" s="60"/>
      <c r="M90" s="60"/>
      <c r="N90" s="60"/>
      <c r="O90" s="60"/>
      <c r="P90" s="60"/>
      <c r="Q90" s="60"/>
      <c r="R90" s="85"/>
      <c r="T90" s="67"/>
      <c r="U90" s="67"/>
      <c r="V90" s="67"/>
      <c r="W90" s="67"/>
    </row>
    <row r="91" spans="1:23" s="34" customFormat="1" x14ac:dyDescent="0.3">
      <c r="A91" s="62" t="s">
        <v>72</v>
      </c>
      <c r="B91" s="63">
        <f>4.75*8</f>
        <v>38</v>
      </c>
      <c r="C91" s="63">
        <f>C90</f>
        <v>8</v>
      </c>
      <c r="D91" s="42"/>
      <c r="E91" s="42"/>
      <c r="F91" s="61">
        <v>1303</v>
      </c>
      <c r="G91" s="60">
        <f>C91*F91*3.17*12</f>
        <v>396528.96</v>
      </c>
      <c r="H91" s="60">
        <f>C91*F91*1.58*1.75*12</f>
        <v>345868.32000000007</v>
      </c>
      <c r="I91" s="60">
        <f>C91*F91*0.19*12</f>
        <v>23766.720000000001</v>
      </c>
      <c r="J91" s="60">
        <f>G91+H91+I91</f>
        <v>766164</v>
      </c>
      <c r="K91" s="60">
        <f>J91*$K$9</f>
        <v>180738.0876</v>
      </c>
      <c r="L91" s="60"/>
      <c r="M91" s="60"/>
      <c r="N91" s="60"/>
      <c r="O91" s="60"/>
      <c r="P91" s="60"/>
      <c r="Q91" s="60"/>
      <c r="R91" s="85"/>
      <c r="T91" s="67"/>
      <c r="U91" s="67"/>
      <c r="V91" s="67"/>
      <c r="W91" s="67"/>
    </row>
    <row r="92" spans="1:23" s="34" customFormat="1" x14ac:dyDescent="0.3">
      <c r="A92" s="53" t="s">
        <v>213</v>
      </c>
      <c r="B92" s="69"/>
      <c r="C92" s="69"/>
      <c r="D92" s="42">
        <v>1</v>
      </c>
      <c r="E92" s="42">
        <f>D92*$F$5</f>
        <v>17991</v>
      </c>
      <c r="F92" s="53"/>
      <c r="G92" s="60"/>
      <c r="H92" s="60"/>
      <c r="I92" s="60"/>
      <c r="J92" s="60"/>
      <c r="K92" s="60"/>
      <c r="L92" s="50">
        <f>$D92*$B$5</f>
        <v>7854</v>
      </c>
      <c r="M92" s="50"/>
      <c r="N92" s="50">
        <f>$D92*$C$5</f>
        <v>7822</v>
      </c>
      <c r="O92" s="50">
        <f>$D92*$D$5</f>
        <v>874</v>
      </c>
      <c r="P92" s="50">
        <f>$D92*$E$5</f>
        <v>1441</v>
      </c>
      <c r="Q92" s="50"/>
      <c r="R92" s="85"/>
      <c r="T92" s="67"/>
      <c r="U92" s="67"/>
      <c r="V92" s="67"/>
      <c r="W92" s="67"/>
    </row>
    <row r="93" spans="1:23" s="34" customFormat="1" ht="28" x14ac:dyDescent="0.3">
      <c r="A93" s="58" t="s">
        <v>250</v>
      </c>
      <c r="B93" s="69"/>
      <c r="C93" s="69"/>
      <c r="D93" s="42">
        <v>1</v>
      </c>
      <c r="E93" s="42">
        <f>D93*$F$5</f>
        <v>17991</v>
      </c>
      <c r="F93" s="53"/>
      <c r="G93" s="60"/>
      <c r="H93" s="60"/>
      <c r="I93" s="60"/>
      <c r="J93" s="60"/>
      <c r="K93" s="60"/>
      <c r="L93" s="50">
        <f>$D93*$B$5</f>
        <v>7854</v>
      </c>
      <c r="M93" s="50"/>
      <c r="N93" s="50">
        <f>$D93*$C$5</f>
        <v>7822</v>
      </c>
      <c r="O93" s="50">
        <f>$D93*$D$5</f>
        <v>874</v>
      </c>
      <c r="P93" s="50">
        <f>$D93*$E$5</f>
        <v>1441</v>
      </c>
      <c r="Q93" s="50"/>
      <c r="R93" s="68"/>
      <c r="T93" s="67"/>
      <c r="U93" s="67"/>
      <c r="V93" s="67"/>
      <c r="W93" s="67"/>
    </row>
    <row r="94" spans="1:23" s="34" customFormat="1" x14ac:dyDescent="0.3">
      <c r="A94" s="58" t="s">
        <v>214</v>
      </c>
      <c r="B94" s="69"/>
      <c r="C94" s="69"/>
      <c r="D94" s="42">
        <v>1</v>
      </c>
      <c r="E94" s="42">
        <f>D94*$F$5</f>
        <v>17991</v>
      </c>
      <c r="F94" s="53"/>
      <c r="G94" s="60"/>
      <c r="H94" s="60"/>
      <c r="I94" s="60"/>
      <c r="J94" s="60"/>
      <c r="K94" s="60"/>
      <c r="L94" s="50">
        <f>$D94*$B$5</f>
        <v>7854</v>
      </c>
      <c r="M94" s="50"/>
      <c r="N94" s="50">
        <f>$D94*$C$5</f>
        <v>7822</v>
      </c>
      <c r="O94" s="50">
        <f>$D94*$D$5</f>
        <v>874</v>
      </c>
      <c r="P94" s="50">
        <f>$D94*$E$5</f>
        <v>1441</v>
      </c>
      <c r="Q94" s="50"/>
      <c r="R94" s="68"/>
      <c r="T94" s="67"/>
      <c r="U94" s="67"/>
      <c r="V94" s="67"/>
      <c r="W94" s="67"/>
    </row>
    <row r="95" spans="1:23" s="34" customFormat="1" x14ac:dyDescent="0.3">
      <c r="A95" s="53" t="s">
        <v>211</v>
      </c>
      <c r="B95" s="69"/>
      <c r="C95" s="69"/>
      <c r="D95" s="42">
        <v>1</v>
      </c>
      <c r="E95" s="42">
        <f>D95*$F$6</f>
        <v>11402</v>
      </c>
      <c r="F95" s="53"/>
      <c r="G95" s="60"/>
      <c r="H95" s="60"/>
      <c r="I95" s="60"/>
      <c r="J95" s="60"/>
      <c r="K95" s="60"/>
      <c r="L95" s="50">
        <f>$D95*$B$6</f>
        <v>1265</v>
      </c>
      <c r="M95" s="50"/>
      <c r="N95" s="50">
        <f>$D95*$C$6</f>
        <v>7822</v>
      </c>
      <c r="O95" s="50">
        <f>$D95*$D$6</f>
        <v>874</v>
      </c>
      <c r="P95" s="50">
        <f>$D95*$E$6</f>
        <v>1441</v>
      </c>
      <c r="Q95" s="50"/>
      <c r="R95" s="68"/>
      <c r="T95" s="67"/>
      <c r="U95" s="67"/>
      <c r="V95" s="67"/>
      <c r="W95" s="67"/>
    </row>
    <row r="96" spans="1:23" s="34" customFormat="1" x14ac:dyDescent="0.3">
      <c r="A96" s="58" t="s">
        <v>249</v>
      </c>
      <c r="B96" s="69"/>
      <c r="C96" s="69"/>
      <c r="D96" s="42">
        <v>1</v>
      </c>
      <c r="E96" s="42">
        <f>D96*$F$5</f>
        <v>17991</v>
      </c>
      <c r="F96" s="53"/>
      <c r="G96" s="60"/>
      <c r="H96" s="60"/>
      <c r="I96" s="60"/>
      <c r="J96" s="60"/>
      <c r="K96" s="60"/>
      <c r="L96" s="50">
        <f>$D96*$B$5</f>
        <v>7854</v>
      </c>
      <c r="M96" s="50"/>
      <c r="N96" s="50">
        <f>$D96*$C$5</f>
        <v>7822</v>
      </c>
      <c r="O96" s="50">
        <f>$D96*$D$5</f>
        <v>874</v>
      </c>
      <c r="P96" s="50">
        <f>$D96*$E$5</f>
        <v>1441</v>
      </c>
      <c r="Q96" s="50"/>
      <c r="R96" s="68"/>
      <c r="T96" s="67"/>
      <c r="U96" s="67"/>
      <c r="V96" s="67"/>
      <c r="W96" s="67"/>
    </row>
    <row r="97" spans="1:23" s="34" customFormat="1" x14ac:dyDescent="0.3">
      <c r="A97" s="58" t="s">
        <v>212</v>
      </c>
      <c r="B97" s="69"/>
      <c r="C97" s="69"/>
      <c r="D97" s="42">
        <v>1</v>
      </c>
      <c r="E97" s="42">
        <f>D97*$F$6</f>
        <v>11402</v>
      </c>
      <c r="F97" s="53"/>
      <c r="G97" s="60"/>
      <c r="H97" s="60"/>
      <c r="I97" s="60"/>
      <c r="J97" s="60"/>
      <c r="K97" s="60"/>
      <c r="L97" s="50">
        <f>$D97*$B$6</f>
        <v>1265</v>
      </c>
      <c r="M97" s="50"/>
      <c r="N97" s="50">
        <f>$D97*$C$6</f>
        <v>7822</v>
      </c>
      <c r="O97" s="50">
        <f>$D97*$D$6</f>
        <v>874</v>
      </c>
      <c r="P97" s="50">
        <f>$D97*$E$6</f>
        <v>1441</v>
      </c>
      <c r="Q97" s="50"/>
      <c r="R97" s="68"/>
      <c r="T97" s="67"/>
      <c r="U97" s="67"/>
      <c r="V97" s="67"/>
      <c r="W97" s="67"/>
    </row>
    <row r="98" spans="1:23" s="34" customFormat="1" x14ac:dyDescent="0.3">
      <c r="A98" s="58" t="s">
        <v>248</v>
      </c>
      <c r="B98" s="69"/>
      <c r="C98" s="69"/>
      <c r="D98" s="42">
        <v>1</v>
      </c>
      <c r="E98" s="42">
        <f>D98*$F$5</f>
        <v>17991</v>
      </c>
      <c r="F98" s="53"/>
      <c r="G98" s="60"/>
      <c r="H98" s="60"/>
      <c r="I98" s="60"/>
      <c r="J98" s="60"/>
      <c r="K98" s="60"/>
      <c r="L98" s="50">
        <f>$D98*$B$5</f>
        <v>7854</v>
      </c>
      <c r="M98" s="50"/>
      <c r="N98" s="50">
        <f>$D98*$C$5</f>
        <v>7822</v>
      </c>
      <c r="O98" s="50">
        <f>$D98*$D$5</f>
        <v>874</v>
      </c>
      <c r="P98" s="50">
        <f>$D98*$E$5</f>
        <v>1441</v>
      </c>
      <c r="Q98" s="50"/>
      <c r="R98" s="68"/>
      <c r="T98" s="67"/>
      <c r="U98" s="67"/>
      <c r="V98" s="67"/>
      <c r="W98" s="67"/>
    </row>
    <row r="99" spans="1:23" s="34" customFormat="1" x14ac:dyDescent="0.3">
      <c r="A99" s="53" t="s">
        <v>221</v>
      </c>
      <c r="B99" s="69"/>
      <c r="C99" s="69"/>
      <c r="D99" s="42">
        <v>1</v>
      </c>
      <c r="E99" s="42">
        <f>D99*$F$6</f>
        <v>11402</v>
      </c>
      <c r="F99" s="53"/>
      <c r="G99" s="60"/>
      <c r="H99" s="60"/>
      <c r="I99" s="60"/>
      <c r="J99" s="60"/>
      <c r="K99" s="60"/>
      <c r="L99" s="50">
        <f>$D99*$B$6</f>
        <v>1265</v>
      </c>
      <c r="M99" s="31"/>
      <c r="N99" s="50">
        <f>$D99*$C$6</f>
        <v>7822</v>
      </c>
      <c r="O99" s="50">
        <f>$D99*$D$6</f>
        <v>874</v>
      </c>
      <c r="P99" s="50">
        <f>$D99*$E$6</f>
        <v>1441</v>
      </c>
      <c r="Q99" s="50"/>
      <c r="R99" s="68"/>
      <c r="T99" s="67"/>
      <c r="U99" s="67"/>
      <c r="V99" s="67"/>
      <c r="W99" s="67"/>
    </row>
    <row r="100" spans="1:23" s="34" customFormat="1" x14ac:dyDescent="0.3">
      <c r="A100" s="62" t="s">
        <v>253</v>
      </c>
      <c r="B100" s="69"/>
      <c r="C100" s="69"/>
      <c r="D100" s="42"/>
      <c r="E100" s="42"/>
      <c r="F100" s="53"/>
      <c r="G100" s="84"/>
      <c r="H100" s="84"/>
      <c r="I100" s="70"/>
      <c r="J100" s="71">
        <f>ROUND(SUM(J101:J110),0)</f>
        <v>2239839</v>
      </c>
      <c r="K100" s="71">
        <f>ROUND(SUM(K101:K110),0)</f>
        <v>528378</v>
      </c>
      <c r="L100" s="71">
        <f>ROUND(SUM(L101:L110),0)</f>
        <v>44330</v>
      </c>
      <c r="M100" s="56">
        <v>4028</v>
      </c>
      <c r="N100" s="71">
        <f>ROUND(SUM(N101:N110),0)</f>
        <v>70398</v>
      </c>
      <c r="O100" s="71">
        <f>ROUND(SUM(O101:O110),0)</f>
        <v>7866</v>
      </c>
      <c r="P100" s="71">
        <f>ROUND(SUM(P101:P110),0)</f>
        <v>12969</v>
      </c>
      <c r="Q100" s="71"/>
      <c r="R100" s="65">
        <f>SUM(J100:P100)</f>
        <v>2907808</v>
      </c>
      <c r="T100" s="64">
        <v>2572006</v>
      </c>
      <c r="U100" s="64">
        <v>65165</v>
      </c>
      <c r="V100" s="64">
        <v>73031</v>
      </c>
      <c r="W100" s="64">
        <v>2710202</v>
      </c>
    </row>
    <row r="101" spans="1:23" s="34" customFormat="1" x14ac:dyDescent="0.3">
      <c r="A101" s="62" t="s">
        <v>210</v>
      </c>
      <c r="B101" s="63">
        <f>4.75*C101</f>
        <v>42.75</v>
      </c>
      <c r="C101" s="63">
        <f>SUM(D103:D110)</f>
        <v>9</v>
      </c>
      <c r="D101" s="42"/>
      <c r="E101" s="63">
        <f>SUM(E103:E110)</f>
        <v>135563</v>
      </c>
      <c r="F101" s="61">
        <v>2083</v>
      </c>
      <c r="G101" s="60">
        <f>C101*F101*3.17*12</f>
        <v>713135.88</v>
      </c>
      <c r="H101" s="60">
        <f>C101*F101*1.58*1.75*12</f>
        <v>622025.46</v>
      </c>
      <c r="I101" s="60">
        <f>C101*F101*0.19*12</f>
        <v>42743.159999999996</v>
      </c>
      <c r="J101" s="60">
        <f>G101+H101+I101</f>
        <v>1377904.4999999998</v>
      </c>
      <c r="K101" s="60">
        <f>J101*$K$9</f>
        <v>325047.67154999997</v>
      </c>
      <c r="L101" s="60"/>
      <c r="M101" s="60"/>
      <c r="N101" s="60"/>
      <c r="O101" s="60"/>
      <c r="P101" s="60"/>
      <c r="Q101" s="60"/>
      <c r="R101" s="85"/>
      <c r="T101" s="67"/>
      <c r="U101" s="67"/>
      <c r="V101" s="67"/>
      <c r="W101" s="67"/>
    </row>
    <row r="102" spans="1:23" s="34" customFormat="1" x14ac:dyDescent="0.3">
      <c r="A102" s="62" t="s">
        <v>72</v>
      </c>
      <c r="B102" s="63">
        <f>4.75*C102</f>
        <v>42.75</v>
      </c>
      <c r="C102" s="63">
        <f>C101</f>
        <v>9</v>
      </c>
      <c r="D102" s="42"/>
      <c r="E102" s="42"/>
      <c r="F102" s="61">
        <v>1303</v>
      </c>
      <c r="G102" s="60">
        <f>C102*F102*3.17*12</f>
        <v>446095.07999999996</v>
      </c>
      <c r="H102" s="60">
        <f>C102*F102*1.58*1.75*12</f>
        <v>389101.86</v>
      </c>
      <c r="I102" s="60">
        <f>C102*F102*0.19*12</f>
        <v>26737.56</v>
      </c>
      <c r="J102" s="60">
        <f>G102+H102+I102</f>
        <v>861934.5</v>
      </c>
      <c r="K102" s="60">
        <f>J102*$K$9</f>
        <v>203330.34855</v>
      </c>
      <c r="L102" s="60"/>
      <c r="M102" s="60"/>
      <c r="N102" s="60"/>
      <c r="O102" s="60"/>
      <c r="P102" s="60"/>
      <c r="Q102" s="60"/>
      <c r="R102" s="85"/>
      <c r="T102" s="67"/>
      <c r="U102" s="67"/>
      <c r="V102" s="67"/>
      <c r="W102" s="67"/>
    </row>
    <row r="103" spans="1:23" s="34" customFormat="1" x14ac:dyDescent="0.3">
      <c r="A103" s="53" t="s">
        <v>213</v>
      </c>
      <c r="B103" s="69"/>
      <c r="C103" s="69"/>
      <c r="D103" s="42">
        <v>1</v>
      </c>
      <c r="E103" s="42">
        <f>D103*$F$5</f>
        <v>17991</v>
      </c>
      <c r="F103" s="53"/>
      <c r="G103" s="60"/>
      <c r="H103" s="60"/>
      <c r="I103" s="60"/>
      <c r="J103" s="60"/>
      <c r="K103" s="60"/>
      <c r="L103" s="50">
        <f>$D103*$B$5</f>
        <v>7854</v>
      </c>
      <c r="M103" s="50"/>
      <c r="N103" s="50">
        <f>$D103*$C$5</f>
        <v>7822</v>
      </c>
      <c r="O103" s="50">
        <f>$D103*$D$5</f>
        <v>874</v>
      </c>
      <c r="P103" s="50">
        <f>$D103*$E$5</f>
        <v>1441</v>
      </c>
      <c r="Q103" s="50"/>
      <c r="R103" s="68"/>
      <c r="T103" s="67"/>
      <c r="U103" s="67"/>
      <c r="V103" s="67"/>
      <c r="W103" s="67"/>
    </row>
    <row r="104" spans="1:23" s="34" customFormat="1" ht="28" x14ac:dyDescent="0.3">
      <c r="A104" s="58" t="s">
        <v>250</v>
      </c>
      <c r="B104" s="69"/>
      <c r="C104" s="69"/>
      <c r="D104" s="42">
        <v>1</v>
      </c>
      <c r="E104" s="42">
        <f>D104*$F$5</f>
        <v>17991</v>
      </c>
      <c r="F104" s="53"/>
      <c r="G104" s="60"/>
      <c r="H104" s="60"/>
      <c r="I104" s="60"/>
      <c r="J104" s="60"/>
      <c r="K104" s="60"/>
      <c r="L104" s="50">
        <f>$D104*$B$5</f>
        <v>7854</v>
      </c>
      <c r="M104" s="50"/>
      <c r="N104" s="50">
        <f>$D104*$C$5</f>
        <v>7822</v>
      </c>
      <c r="O104" s="50">
        <f>$D104*$D$5</f>
        <v>874</v>
      </c>
      <c r="P104" s="50">
        <f>$D104*$E$5</f>
        <v>1441</v>
      </c>
      <c r="Q104" s="50"/>
      <c r="R104" s="68"/>
      <c r="T104" s="67"/>
      <c r="U104" s="67"/>
      <c r="V104" s="67"/>
      <c r="W104" s="67"/>
    </row>
    <row r="105" spans="1:23" s="34" customFormat="1" x14ac:dyDescent="0.3">
      <c r="A105" s="58" t="s">
        <v>214</v>
      </c>
      <c r="B105" s="69"/>
      <c r="C105" s="69"/>
      <c r="D105" s="42">
        <v>1</v>
      </c>
      <c r="E105" s="42">
        <f>D105*$F$5</f>
        <v>17991</v>
      </c>
      <c r="F105" s="53"/>
      <c r="G105" s="60"/>
      <c r="H105" s="60"/>
      <c r="I105" s="60"/>
      <c r="J105" s="60"/>
      <c r="K105" s="60"/>
      <c r="L105" s="50">
        <f>$D105*$B$5</f>
        <v>7854</v>
      </c>
      <c r="M105" s="50"/>
      <c r="N105" s="50">
        <f>$D105*$C$5</f>
        <v>7822</v>
      </c>
      <c r="O105" s="50">
        <f>$D105*$D$5</f>
        <v>874</v>
      </c>
      <c r="P105" s="50">
        <f>$D105*$E$5</f>
        <v>1441</v>
      </c>
      <c r="Q105" s="50"/>
      <c r="R105" s="68"/>
      <c r="T105" s="67"/>
      <c r="U105" s="67"/>
      <c r="V105" s="67"/>
      <c r="W105" s="67"/>
    </row>
    <row r="106" spans="1:23" s="34" customFormat="1" x14ac:dyDescent="0.3">
      <c r="A106" s="53" t="s">
        <v>211</v>
      </c>
      <c r="B106" s="69"/>
      <c r="C106" s="69"/>
      <c r="D106" s="42">
        <v>2</v>
      </c>
      <c r="E106" s="42">
        <f>D106*$F$6</f>
        <v>22804</v>
      </c>
      <c r="F106" s="53"/>
      <c r="G106" s="60"/>
      <c r="H106" s="60"/>
      <c r="I106" s="60"/>
      <c r="J106" s="60"/>
      <c r="K106" s="60"/>
      <c r="L106" s="50">
        <f>$D106*$B$6</f>
        <v>2530</v>
      </c>
      <c r="M106" s="50"/>
      <c r="N106" s="50">
        <f>$D106*$C$6</f>
        <v>15644</v>
      </c>
      <c r="O106" s="50">
        <f>$D106*$D$6</f>
        <v>1748</v>
      </c>
      <c r="P106" s="50">
        <f>$D106*$E$6</f>
        <v>2882</v>
      </c>
      <c r="Q106" s="50"/>
      <c r="R106" s="68"/>
      <c r="T106" s="67"/>
      <c r="U106" s="67"/>
      <c r="V106" s="67"/>
      <c r="W106" s="67"/>
    </row>
    <row r="107" spans="1:23" s="34" customFormat="1" x14ac:dyDescent="0.3">
      <c r="A107" s="58" t="s">
        <v>212</v>
      </c>
      <c r="B107" s="69"/>
      <c r="C107" s="69"/>
      <c r="D107" s="42">
        <v>1</v>
      </c>
      <c r="E107" s="42">
        <f>D107*$F$6</f>
        <v>11402</v>
      </c>
      <c r="F107" s="53"/>
      <c r="G107" s="60"/>
      <c r="H107" s="60"/>
      <c r="I107" s="60"/>
      <c r="J107" s="60"/>
      <c r="K107" s="60"/>
      <c r="L107" s="50">
        <f>$D107*$B$6</f>
        <v>1265</v>
      </c>
      <c r="M107" s="50"/>
      <c r="N107" s="50">
        <f>$D107*$C$6</f>
        <v>7822</v>
      </c>
      <c r="O107" s="50">
        <f>$D107*$D$6</f>
        <v>874</v>
      </c>
      <c r="P107" s="50">
        <f>$D107*$E$6</f>
        <v>1441</v>
      </c>
      <c r="Q107" s="50"/>
      <c r="R107" s="68"/>
      <c r="T107" s="67"/>
      <c r="U107" s="67"/>
      <c r="V107" s="67"/>
      <c r="W107" s="67"/>
    </row>
    <row r="108" spans="1:23" s="34" customFormat="1" x14ac:dyDescent="0.3">
      <c r="A108" s="58" t="s">
        <v>249</v>
      </c>
      <c r="B108" s="69"/>
      <c r="C108" s="69"/>
      <c r="D108" s="42">
        <v>1</v>
      </c>
      <c r="E108" s="42">
        <f>D108*$F$5</f>
        <v>17991</v>
      </c>
      <c r="F108" s="53"/>
      <c r="G108" s="60"/>
      <c r="H108" s="60"/>
      <c r="I108" s="60"/>
      <c r="J108" s="60"/>
      <c r="K108" s="60"/>
      <c r="L108" s="50">
        <f>$D108*$B$5</f>
        <v>7854</v>
      </c>
      <c r="M108" s="50"/>
      <c r="N108" s="50">
        <f>$D108*$C$5</f>
        <v>7822</v>
      </c>
      <c r="O108" s="50">
        <f>$D108*$D$5</f>
        <v>874</v>
      </c>
      <c r="P108" s="50">
        <f>$D108*$E$5</f>
        <v>1441</v>
      </c>
      <c r="Q108" s="50"/>
      <c r="R108" s="68"/>
      <c r="T108" s="67"/>
      <c r="U108" s="67"/>
      <c r="V108" s="67"/>
      <c r="W108" s="67"/>
    </row>
    <row r="109" spans="1:23" s="34" customFormat="1" x14ac:dyDescent="0.3">
      <c r="A109" s="58" t="s">
        <v>248</v>
      </c>
      <c r="B109" s="69"/>
      <c r="C109" s="69"/>
      <c r="D109" s="42">
        <v>1</v>
      </c>
      <c r="E109" s="42">
        <f>D109*$F$5</f>
        <v>17991</v>
      </c>
      <c r="F109" s="53"/>
      <c r="G109" s="60"/>
      <c r="H109" s="60"/>
      <c r="I109" s="60"/>
      <c r="J109" s="60"/>
      <c r="K109" s="60"/>
      <c r="L109" s="50">
        <f>$D109*$B$5</f>
        <v>7854</v>
      </c>
      <c r="M109" s="50"/>
      <c r="N109" s="50">
        <f>$D109*$C$5</f>
        <v>7822</v>
      </c>
      <c r="O109" s="50">
        <f>$D109*$D$5</f>
        <v>874</v>
      </c>
      <c r="P109" s="50">
        <f>$D109*$E$5</f>
        <v>1441</v>
      </c>
      <c r="Q109" s="50"/>
      <c r="R109" s="68"/>
      <c r="T109" s="67"/>
      <c r="U109" s="67"/>
      <c r="V109" s="67"/>
      <c r="W109" s="67"/>
    </row>
    <row r="110" spans="1:23" s="34" customFormat="1" x14ac:dyDescent="0.3">
      <c r="A110" s="53" t="s">
        <v>221</v>
      </c>
      <c r="B110" s="69"/>
      <c r="C110" s="69"/>
      <c r="D110" s="42">
        <v>1</v>
      </c>
      <c r="E110" s="42">
        <f>D110*$F$6</f>
        <v>11402</v>
      </c>
      <c r="F110" s="53"/>
      <c r="G110" s="60"/>
      <c r="H110" s="60"/>
      <c r="I110" s="60"/>
      <c r="J110" s="60"/>
      <c r="K110" s="60"/>
      <c r="L110" s="50">
        <f>$D110*$B$6</f>
        <v>1265</v>
      </c>
      <c r="M110" s="31"/>
      <c r="N110" s="50">
        <f>$D110*$C$6</f>
        <v>7822</v>
      </c>
      <c r="O110" s="50">
        <f>$D110*$D$6</f>
        <v>874</v>
      </c>
      <c r="P110" s="50">
        <f>$D110*$E$6</f>
        <v>1441</v>
      </c>
      <c r="Q110" s="50"/>
      <c r="R110" s="68"/>
      <c r="T110" s="67"/>
      <c r="U110" s="67"/>
      <c r="V110" s="67"/>
      <c r="W110" s="67"/>
    </row>
    <row r="111" spans="1:23" s="34" customFormat="1" x14ac:dyDescent="0.3">
      <c r="A111" s="62" t="s">
        <v>252</v>
      </c>
      <c r="B111" s="69"/>
      <c r="C111" s="69"/>
      <c r="D111" s="42"/>
      <c r="E111" s="42"/>
      <c r="F111" s="53"/>
      <c r="G111" s="60"/>
      <c r="H111" s="60"/>
      <c r="I111" s="60"/>
      <c r="J111" s="71">
        <f>ROUND(SUM(J112:J121),0)</f>
        <v>2239839</v>
      </c>
      <c r="K111" s="71">
        <f>ROUND(SUM(K112:K121),0)</f>
        <v>528378</v>
      </c>
      <c r="L111" s="71">
        <f>ROUND(SUM(L112:L121),0)</f>
        <v>44330</v>
      </c>
      <c r="M111" s="56">
        <v>1949</v>
      </c>
      <c r="N111" s="71">
        <f>ROUND(SUM(N112:N121),0)</f>
        <v>70398</v>
      </c>
      <c r="O111" s="71">
        <f>ROUND(SUM(O112:O121),0)</f>
        <v>7866</v>
      </c>
      <c r="P111" s="71">
        <f>ROUND(SUM(P112:P121),0)</f>
        <v>12969</v>
      </c>
      <c r="Q111" s="71"/>
      <c r="R111" s="65">
        <f>SUM(J111:P111)</f>
        <v>2905729</v>
      </c>
      <c r="T111" s="64">
        <v>2572006</v>
      </c>
      <c r="U111" s="64">
        <v>65165</v>
      </c>
      <c r="V111" s="64">
        <v>70952</v>
      </c>
      <c r="W111" s="64">
        <v>2708123</v>
      </c>
    </row>
    <row r="112" spans="1:23" s="34" customFormat="1" x14ac:dyDescent="0.3">
      <c r="A112" s="62" t="s">
        <v>210</v>
      </c>
      <c r="B112" s="63">
        <f>4.75*C112</f>
        <v>42.75</v>
      </c>
      <c r="C112" s="63">
        <f>SUM(D114:D121)</f>
        <v>9</v>
      </c>
      <c r="D112" s="42"/>
      <c r="E112" s="63">
        <f>SUM(E114:E121)</f>
        <v>135563</v>
      </c>
      <c r="F112" s="61">
        <v>2083</v>
      </c>
      <c r="G112" s="60">
        <f>C112*F112*3.17*12</f>
        <v>713135.88</v>
      </c>
      <c r="H112" s="60">
        <f>C112*F112*1.58*1.75*12</f>
        <v>622025.46</v>
      </c>
      <c r="I112" s="60">
        <f>C112*F112*0.19*12</f>
        <v>42743.159999999996</v>
      </c>
      <c r="J112" s="60">
        <f>G112+H112+I112</f>
        <v>1377904.4999999998</v>
      </c>
      <c r="K112" s="60">
        <f>J112*$K$9</f>
        <v>325047.67154999997</v>
      </c>
      <c r="L112" s="60"/>
      <c r="M112" s="60"/>
      <c r="N112" s="60"/>
      <c r="O112" s="60"/>
      <c r="P112" s="60"/>
      <c r="Q112" s="60"/>
      <c r="R112" s="85"/>
      <c r="T112" s="67"/>
      <c r="U112" s="67"/>
      <c r="V112" s="67"/>
      <c r="W112" s="67"/>
    </row>
    <row r="113" spans="1:23" s="34" customFormat="1" x14ac:dyDescent="0.3">
      <c r="A113" s="62" t="s">
        <v>72</v>
      </c>
      <c r="B113" s="63">
        <f>4.75*8</f>
        <v>38</v>
      </c>
      <c r="C113" s="63">
        <f>C112</f>
        <v>9</v>
      </c>
      <c r="D113" s="42"/>
      <c r="E113" s="42"/>
      <c r="F113" s="61">
        <v>1303</v>
      </c>
      <c r="G113" s="60">
        <f>C113*F113*3.17*12</f>
        <v>446095.07999999996</v>
      </c>
      <c r="H113" s="60">
        <f>C113*F113*1.58*1.75*12</f>
        <v>389101.86</v>
      </c>
      <c r="I113" s="60">
        <f>C113*F113*0.19*12</f>
        <v>26737.56</v>
      </c>
      <c r="J113" s="60">
        <f>G113+H113+I113</f>
        <v>861934.5</v>
      </c>
      <c r="K113" s="60">
        <f>J113*$K$9</f>
        <v>203330.34855</v>
      </c>
      <c r="L113" s="60"/>
      <c r="M113" s="60"/>
      <c r="N113" s="60"/>
      <c r="O113" s="60"/>
      <c r="P113" s="60"/>
      <c r="Q113" s="60"/>
      <c r="R113" s="85"/>
      <c r="T113" s="67"/>
      <c r="U113" s="67"/>
      <c r="V113" s="67"/>
      <c r="W113" s="67"/>
    </row>
    <row r="114" spans="1:23" s="34" customFormat="1" x14ac:dyDescent="0.3">
      <c r="A114" s="53" t="s">
        <v>213</v>
      </c>
      <c r="B114" s="69"/>
      <c r="C114" s="69"/>
      <c r="D114" s="42">
        <v>1</v>
      </c>
      <c r="E114" s="42">
        <f>D114*$F$5</f>
        <v>17991</v>
      </c>
      <c r="F114" s="53"/>
      <c r="G114" s="60"/>
      <c r="H114" s="60"/>
      <c r="I114" s="60"/>
      <c r="J114" s="60"/>
      <c r="K114" s="60"/>
      <c r="L114" s="50">
        <f>$D114*$B$5</f>
        <v>7854</v>
      </c>
      <c r="M114" s="50"/>
      <c r="N114" s="50">
        <f>$D114*$C$5</f>
        <v>7822</v>
      </c>
      <c r="O114" s="50">
        <f>$D114*$D$5</f>
        <v>874</v>
      </c>
      <c r="P114" s="50">
        <f>$D114*$E$5</f>
        <v>1441</v>
      </c>
      <c r="Q114" s="50"/>
      <c r="R114" s="68"/>
      <c r="T114" s="67"/>
      <c r="U114" s="67"/>
      <c r="V114" s="67"/>
      <c r="W114" s="67"/>
    </row>
    <row r="115" spans="1:23" s="34" customFormat="1" ht="28" x14ac:dyDescent="0.3">
      <c r="A115" s="58" t="s">
        <v>250</v>
      </c>
      <c r="B115" s="69"/>
      <c r="C115" s="69"/>
      <c r="D115" s="42">
        <v>1</v>
      </c>
      <c r="E115" s="42">
        <f>D115*$F$5</f>
        <v>17991</v>
      </c>
      <c r="F115" s="53"/>
      <c r="G115" s="60"/>
      <c r="H115" s="60"/>
      <c r="I115" s="60"/>
      <c r="J115" s="60"/>
      <c r="K115" s="60"/>
      <c r="L115" s="50">
        <f>$D115*$B$5</f>
        <v>7854</v>
      </c>
      <c r="M115" s="50"/>
      <c r="N115" s="50">
        <f>$D115*$C$5</f>
        <v>7822</v>
      </c>
      <c r="O115" s="50">
        <f>$D115*$D$5</f>
        <v>874</v>
      </c>
      <c r="P115" s="50">
        <f>$D115*$E$5</f>
        <v>1441</v>
      </c>
      <c r="Q115" s="50"/>
      <c r="R115" s="68"/>
      <c r="T115" s="67"/>
      <c r="U115" s="67"/>
      <c r="V115" s="67"/>
      <c r="W115" s="67"/>
    </row>
    <row r="116" spans="1:23" s="34" customFormat="1" x14ac:dyDescent="0.3">
      <c r="A116" s="58" t="s">
        <v>214</v>
      </c>
      <c r="B116" s="69"/>
      <c r="C116" s="69"/>
      <c r="D116" s="42">
        <v>1</v>
      </c>
      <c r="E116" s="42">
        <f>D116*$F$5</f>
        <v>17991</v>
      </c>
      <c r="F116" s="53"/>
      <c r="G116" s="60"/>
      <c r="H116" s="60"/>
      <c r="I116" s="60"/>
      <c r="J116" s="60"/>
      <c r="K116" s="60"/>
      <c r="L116" s="50">
        <f>$D116*$B$5</f>
        <v>7854</v>
      </c>
      <c r="M116" s="50"/>
      <c r="N116" s="50">
        <f>$D116*$C$5</f>
        <v>7822</v>
      </c>
      <c r="O116" s="50">
        <f>$D116*$D$5</f>
        <v>874</v>
      </c>
      <c r="P116" s="50">
        <f>$D116*$E$5</f>
        <v>1441</v>
      </c>
      <c r="Q116" s="50"/>
      <c r="R116" s="68"/>
      <c r="T116" s="67"/>
      <c r="U116" s="67"/>
      <c r="V116" s="67"/>
      <c r="W116" s="67"/>
    </row>
    <row r="117" spans="1:23" s="34" customFormat="1" x14ac:dyDescent="0.3">
      <c r="A117" s="53" t="s">
        <v>211</v>
      </c>
      <c r="B117" s="69"/>
      <c r="C117" s="69"/>
      <c r="D117" s="42">
        <v>2</v>
      </c>
      <c r="E117" s="42">
        <f>D117*$F$6</f>
        <v>22804</v>
      </c>
      <c r="F117" s="53"/>
      <c r="G117" s="60"/>
      <c r="H117" s="60"/>
      <c r="I117" s="60"/>
      <c r="J117" s="60"/>
      <c r="K117" s="60"/>
      <c r="L117" s="50">
        <f>$D117*$B$6</f>
        <v>2530</v>
      </c>
      <c r="M117" s="50"/>
      <c r="N117" s="50">
        <f>$D117*$C$6</f>
        <v>15644</v>
      </c>
      <c r="O117" s="50">
        <f>$D117*$D$6</f>
        <v>1748</v>
      </c>
      <c r="P117" s="50">
        <f>$D117*$E$6</f>
        <v>2882</v>
      </c>
      <c r="Q117" s="50"/>
      <c r="R117" s="68"/>
      <c r="T117" s="67"/>
      <c r="U117" s="67"/>
      <c r="V117" s="67"/>
      <c r="W117" s="67"/>
    </row>
    <row r="118" spans="1:23" s="34" customFormat="1" x14ac:dyDescent="0.3">
      <c r="A118" s="58" t="s">
        <v>249</v>
      </c>
      <c r="B118" s="69"/>
      <c r="C118" s="69"/>
      <c r="D118" s="42">
        <v>1</v>
      </c>
      <c r="E118" s="42">
        <f>D118*$F$5</f>
        <v>17991</v>
      </c>
      <c r="F118" s="53"/>
      <c r="G118" s="60"/>
      <c r="H118" s="60"/>
      <c r="I118" s="60"/>
      <c r="J118" s="60"/>
      <c r="K118" s="60"/>
      <c r="L118" s="50">
        <f>$D118*$B$5</f>
        <v>7854</v>
      </c>
      <c r="M118" s="50"/>
      <c r="N118" s="50">
        <f>$D118*$C$5</f>
        <v>7822</v>
      </c>
      <c r="O118" s="50">
        <f>$D118*$D$5</f>
        <v>874</v>
      </c>
      <c r="P118" s="50">
        <f>$D118*$E$5</f>
        <v>1441</v>
      </c>
      <c r="Q118" s="50"/>
      <c r="R118" s="68"/>
      <c r="T118" s="67"/>
      <c r="U118" s="67"/>
      <c r="V118" s="67"/>
      <c r="W118" s="67"/>
    </row>
    <row r="119" spans="1:23" s="34" customFormat="1" x14ac:dyDescent="0.3">
      <c r="A119" s="58" t="s">
        <v>212</v>
      </c>
      <c r="B119" s="69"/>
      <c r="C119" s="69"/>
      <c r="D119" s="42">
        <v>1</v>
      </c>
      <c r="E119" s="42">
        <f>D119*$F$6</f>
        <v>11402</v>
      </c>
      <c r="F119" s="53"/>
      <c r="G119" s="60"/>
      <c r="H119" s="60"/>
      <c r="I119" s="60"/>
      <c r="J119" s="60"/>
      <c r="K119" s="60"/>
      <c r="L119" s="50">
        <f>$D119*$B$6</f>
        <v>1265</v>
      </c>
      <c r="M119" s="50"/>
      <c r="N119" s="50">
        <f>$D119*$C$6</f>
        <v>7822</v>
      </c>
      <c r="O119" s="50">
        <f>$D119*$D$6</f>
        <v>874</v>
      </c>
      <c r="P119" s="50">
        <f>$D119*$E$6</f>
        <v>1441</v>
      </c>
      <c r="Q119" s="50"/>
      <c r="R119" s="68"/>
      <c r="T119" s="67"/>
      <c r="U119" s="67"/>
      <c r="V119" s="67"/>
      <c r="W119" s="67"/>
    </row>
    <row r="120" spans="1:23" s="34" customFormat="1" x14ac:dyDescent="0.3">
      <c r="A120" s="58" t="s">
        <v>248</v>
      </c>
      <c r="B120" s="69"/>
      <c r="C120" s="69"/>
      <c r="D120" s="42">
        <v>1</v>
      </c>
      <c r="E120" s="42">
        <f>D120*$F$5</f>
        <v>17991</v>
      </c>
      <c r="F120" s="53"/>
      <c r="G120" s="60"/>
      <c r="H120" s="60"/>
      <c r="I120" s="60"/>
      <c r="J120" s="60"/>
      <c r="K120" s="60"/>
      <c r="L120" s="50">
        <f>$D120*$B$5</f>
        <v>7854</v>
      </c>
      <c r="M120" s="50"/>
      <c r="N120" s="50">
        <f>$D120*$C$5</f>
        <v>7822</v>
      </c>
      <c r="O120" s="50">
        <f>$D120*$D$5</f>
        <v>874</v>
      </c>
      <c r="P120" s="50">
        <f>$D120*$E$5</f>
        <v>1441</v>
      </c>
      <c r="Q120" s="50"/>
      <c r="R120" s="68"/>
      <c r="T120" s="67"/>
      <c r="U120" s="67"/>
      <c r="V120" s="67"/>
      <c r="W120" s="67"/>
    </row>
    <row r="121" spans="1:23" s="34" customFormat="1" x14ac:dyDescent="0.3">
      <c r="A121" s="53" t="s">
        <v>221</v>
      </c>
      <c r="B121" s="69"/>
      <c r="C121" s="69"/>
      <c r="D121" s="42">
        <v>1</v>
      </c>
      <c r="E121" s="42">
        <f>D121*$F$6</f>
        <v>11402</v>
      </c>
      <c r="F121" s="53"/>
      <c r="G121" s="60"/>
      <c r="H121" s="60"/>
      <c r="I121" s="60"/>
      <c r="J121" s="60"/>
      <c r="K121" s="60"/>
      <c r="L121" s="50">
        <f>$D121*$B$6</f>
        <v>1265</v>
      </c>
      <c r="M121" s="31"/>
      <c r="N121" s="50">
        <f>$D121*$C$6</f>
        <v>7822</v>
      </c>
      <c r="O121" s="50">
        <f>$D121*$D$6</f>
        <v>874</v>
      </c>
      <c r="P121" s="50">
        <f>$D121*$E$6</f>
        <v>1441</v>
      </c>
      <c r="Q121" s="50"/>
      <c r="R121" s="68"/>
      <c r="T121" s="67"/>
      <c r="U121" s="67"/>
      <c r="V121" s="67"/>
      <c r="W121" s="67"/>
    </row>
    <row r="122" spans="1:23" s="34" customFormat="1" x14ac:dyDescent="0.3">
      <c r="A122" s="62" t="s">
        <v>251</v>
      </c>
      <c r="B122" s="69"/>
      <c r="C122" s="69"/>
      <c r="D122" s="42"/>
      <c r="E122" s="42"/>
      <c r="F122" s="53"/>
      <c r="G122" s="84"/>
      <c r="H122" s="84"/>
      <c r="I122" s="70"/>
      <c r="J122" s="71">
        <f>ROUND(SUM(J123:J132),0)</f>
        <v>1990968</v>
      </c>
      <c r="K122" s="71">
        <f>ROUND(SUM(K123:K132),0)</f>
        <v>469669</v>
      </c>
      <c r="L122" s="71">
        <f>ROUND(SUM(L123:L132),0)</f>
        <v>43065</v>
      </c>
      <c r="M122" s="56">
        <v>2986</v>
      </c>
      <c r="N122" s="71">
        <f>ROUND(SUM(N123:N132),0)</f>
        <v>62576</v>
      </c>
      <c r="O122" s="71">
        <f>ROUND(SUM(O123:O132),0)</f>
        <v>6992</v>
      </c>
      <c r="P122" s="71">
        <f>ROUND(SUM(P123:P132),0)</f>
        <v>11528</v>
      </c>
      <c r="Q122" s="71"/>
      <c r="R122" s="65">
        <f>SUM(J122:P122)</f>
        <v>2587784</v>
      </c>
      <c r="T122" s="64">
        <v>2286227</v>
      </c>
      <c r="U122" s="64">
        <v>61585</v>
      </c>
      <c r="V122" s="64">
        <v>64322</v>
      </c>
      <c r="W122" s="64">
        <v>2412134</v>
      </c>
    </row>
    <row r="123" spans="1:23" s="34" customFormat="1" x14ac:dyDescent="0.3">
      <c r="A123" s="62" t="s">
        <v>210</v>
      </c>
      <c r="B123" s="63">
        <f>4.75*C123</f>
        <v>38</v>
      </c>
      <c r="C123" s="63">
        <f>SUM(D125:D132)</f>
        <v>8</v>
      </c>
      <c r="D123" s="42"/>
      <c r="E123" s="63">
        <f>SUM(E125:E132)</f>
        <v>124161</v>
      </c>
      <c r="F123" s="61">
        <v>2083</v>
      </c>
      <c r="G123" s="60">
        <f>C123*F123*3.17*12</f>
        <v>633898.55999999994</v>
      </c>
      <c r="H123" s="60">
        <f>C123*F123*1.58*1.75*12</f>
        <v>552911.52</v>
      </c>
      <c r="I123" s="60">
        <f>C123*F123*0.19*12</f>
        <v>37993.919999999998</v>
      </c>
      <c r="J123" s="60">
        <f>G123+H123+I123</f>
        <v>1224804</v>
      </c>
      <c r="K123" s="60">
        <f>J123*$K$9</f>
        <v>288931.26360000001</v>
      </c>
      <c r="L123" s="60"/>
      <c r="M123" s="60"/>
      <c r="N123" s="60"/>
      <c r="O123" s="60"/>
      <c r="P123" s="60"/>
      <c r="Q123" s="60"/>
      <c r="R123" s="83"/>
      <c r="T123" s="67"/>
      <c r="U123" s="67"/>
      <c r="V123" s="67"/>
      <c r="W123" s="67"/>
    </row>
    <row r="124" spans="1:23" s="34" customFormat="1" x14ac:dyDescent="0.3">
      <c r="A124" s="62" t="s">
        <v>72</v>
      </c>
      <c r="B124" s="63">
        <f>4.75*C124</f>
        <v>38</v>
      </c>
      <c r="C124" s="63">
        <f>C123</f>
        <v>8</v>
      </c>
      <c r="D124" s="42"/>
      <c r="E124" s="42"/>
      <c r="F124" s="61">
        <v>1303</v>
      </c>
      <c r="G124" s="60">
        <f>C124*F124*3.17*12</f>
        <v>396528.96</v>
      </c>
      <c r="H124" s="60">
        <f>C124*F124*1.58*1.75*12</f>
        <v>345868.32000000007</v>
      </c>
      <c r="I124" s="60">
        <f>C124*F124*0.19*12</f>
        <v>23766.720000000001</v>
      </c>
      <c r="J124" s="60">
        <f>G124+H124+I124</f>
        <v>766164</v>
      </c>
      <c r="K124" s="60">
        <f>J124*$K$9</f>
        <v>180738.0876</v>
      </c>
      <c r="L124" s="60"/>
      <c r="M124" s="60"/>
      <c r="N124" s="60"/>
      <c r="O124" s="60"/>
      <c r="P124" s="60"/>
      <c r="Q124" s="60"/>
      <c r="R124" s="83"/>
      <c r="T124" s="67"/>
      <c r="U124" s="67"/>
      <c r="V124" s="67"/>
      <c r="W124" s="67"/>
    </row>
    <row r="125" spans="1:23" s="34" customFormat="1" x14ac:dyDescent="0.3">
      <c r="A125" s="53" t="s">
        <v>213</v>
      </c>
      <c r="B125" s="69"/>
      <c r="C125" s="69"/>
      <c r="D125" s="42">
        <v>1</v>
      </c>
      <c r="E125" s="42">
        <f>D125*$F$5</f>
        <v>17991</v>
      </c>
      <c r="F125" s="53"/>
      <c r="G125" s="60"/>
      <c r="H125" s="60"/>
      <c r="I125" s="60"/>
      <c r="J125" s="60"/>
      <c r="K125" s="60"/>
      <c r="L125" s="50">
        <f>$D125*$B$5</f>
        <v>7854</v>
      </c>
      <c r="M125" s="50"/>
      <c r="N125" s="50">
        <f>$D125*$C$5</f>
        <v>7822</v>
      </c>
      <c r="O125" s="50">
        <f>$D125*$D$5</f>
        <v>874</v>
      </c>
      <c r="P125" s="50">
        <f>$D125*$E$5</f>
        <v>1441</v>
      </c>
      <c r="Q125" s="50"/>
      <c r="R125" s="83"/>
      <c r="T125" s="67"/>
      <c r="U125" s="67"/>
      <c r="V125" s="67"/>
      <c r="W125" s="67"/>
    </row>
    <row r="126" spans="1:23" s="34" customFormat="1" ht="28" x14ac:dyDescent="0.3">
      <c r="A126" s="58" t="s">
        <v>250</v>
      </c>
      <c r="B126" s="69"/>
      <c r="C126" s="69"/>
      <c r="D126" s="42">
        <v>1</v>
      </c>
      <c r="E126" s="42">
        <f>D126*$F$5</f>
        <v>17991</v>
      </c>
      <c r="F126" s="53"/>
      <c r="G126" s="60"/>
      <c r="H126" s="60"/>
      <c r="I126" s="60"/>
      <c r="J126" s="60"/>
      <c r="K126" s="60"/>
      <c r="L126" s="50">
        <f>$D126*$B$5</f>
        <v>7854</v>
      </c>
      <c r="M126" s="50"/>
      <c r="N126" s="50">
        <f>$D126*$C$5</f>
        <v>7822</v>
      </c>
      <c r="O126" s="50">
        <f>$D126*$D$5</f>
        <v>874</v>
      </c>
      <c r="P126" s="50">
        <f>$D126*$E$5</f>
        <v>1441</v>
      </c>
      <c r="Q126" s="50"/>
      <c r="R126" s="83"/>
      <c r="T126" s="67"/>
      <c r="U126" s="67"/>
      <c r="V126" s="67"/>
      <c r="W126" s="67"/>
    </row>
    <row r="127" spans="1:23" s="34" customFormat="1" x14ac:dyDescent="0.3">
      <c r="A127" s="58" t="s">
        <v>214</v>
      </c>
      <c r="B127" s="69"/>
      <c r="C127" s="69"/>
      <c r="D127" s="42">
        <v>1</v>
      </c>
      <c r="E127" s="42">
        <f>D127*$F$5</f>
        <v>17991</v>
      </c>
      <c r="F127" s="53"/>
      <c r="G127" s="60"/>
      <c r="H127" s="60"/>
      <c r="I127" s="60"/>
      <c r="J127" s="60"/>
      <c r="K127" s="60"/>
      <c r="L127" s="50">
        <f>$D127*$B$5</f>
        <v>7854</v>
      </c>
      <c r="M127" s="50"/>
      <c r="N127" s="50">
        <f>$D127*$C$5</f>
        <v>7822</v>
      </c>
      <c r="O127" s="50">
        <f>$D127*$D$5</f>
        <v>874</v>
      </c>
      <c r="P127" s="50">
        <f>$D127*$E$5</f>
        <v>1441</v>
      </c>
      <c r="Q127" s="50"/>
      <c r="R127" s="83"/>
      <c r="T127" s="67"/>
      <c r="U127" s="67"/>
      <c r="V127" s="67"/>
      <c r="W127" s="67"/>
    </row>
    <row r="128" spans="1:23" s="34" customFormat="1" x14ac:dyDescent="0.3">
      <c r="A128" s="53" t="s">
        <v>211</v>
      </c>
      <c r="B128" s="69"/>
      <c r="C128" s="69"/>
      <c r="D128" s="42">
        <v>1</v>
      </c>
      <c r="E128" s="42">
        <f>D128*$F$6</f>
        <v>11402</v>
      </c>
      <c r="F128" s="53"/>
      <c r="G128" s="60"/>
      <c r="H128" s="60"/>
      <c r="I128" s="60"/>
      <c r="J128" s="60"/>
      <c r="K128" s="60"/>
      <c r="L128" s="50">
        <f>$D128*$B$6</f>
        <v>1265</v>
      </c>
      <c r="M128" s="50"/>
      <c r="N128" s="50">
        <f>$D128*$C$6</f>
        <v>7822</v>
      </c>
      <c r="O128" s="50">
        <f>$D128*$D$6</f>
        <v>874</v>
      </c>
      <c r="P128" s="50">
        <f>$D128*$E$6</f>
        <v>1441</v>
      </c>
      <c r="Q128" s="50"/>
      <c r="R128" s="83"/>
      <c r="T128" s="67"/>
      <c r="U128" s="67"/>
      <c r="V128" s="67"/>
      <c r="W128" s="67"/>
    </row>
    <row r="129" spans="1:23" s="34" customFormat="1" x14ac:dyDescent="0.3">
      <c r="A129" s="58" t="s">
        <v>249</v>
      </c>
      <c r="B129" s="69"/>
      <c r="C129" s="69"/>
      <c r="D129" s="42">
        <v>1</v>
      </c>
      <c r="E129" s="42">
        <f>D129*$F$5</f>
        <v>17991</v>
      </c>
      <c r="F129" s="53"/>
      <c r="G129" s="60"/>
      <c r="H129" s="60"/>
      <c r="I129" s="60"/>
      <c r="J129" s="60"/>
      <c r="K129" s="60"/>
      <c r="L129" s="50">
        <f>$D129*$B$5</f>
        <v>7854</v>
      </c>
      <c r="M129" s="50"/>
      <c r="N129" s="50">
        <f>$D129*$C$5</f>
        <v>7822</v>
      </c>
      <c r="O129" s="50">
        <f>$D129*$D$5</f>
        <v>874</v>
      </c>
      <c r="P129" s="50">
        <f>$D129*$E$5</f>
        <v>1441</v>
      </c>
      <c r="Q129" s="50"/>
      <c r="R129" s="83"/>
      <c r="T129" s="67"/>
      <c r="U129" s="67"/>
      <c r="V129" s="67"/>
      <c r="W129" s="67"/>
    </row>
    <row r="130" spans="1:23" s="34" customFormat="1" x14ac:dyDescent="0.3">
      <c r="A130" s="58" t="s">
        <v>212</v>
      </c>
      <c r="B130" s="69"/>
      <c r="C130" s="69"/>
      <c r="D130" s="42">
        <v>1</v>
      </c>
      <c r="E130" s="42">
        <f>D130*$F$6</f>
        <v>11402</v>
      </c>
      <c r="F130" s="53"/>
      <c r="G130" s="60"/>
      <c r="H130" s="60"/>
      <c r="I130" s="60"/>
      <c r="J130" s="60"/>
      <c r="K130" s="60"/>
      <c r="L130" s="50">
        <f>$D130*$B$6</f>
        <v>1265</v>
      </c>
      <c r="M130" s="50"/>
      <c r="N130" s="50">
        <f>$D130*$C$6</f>
        <v>7822</v>
      </c>
      <c r="O130" s="50">
        <f>$D130*$D$6</f>
        <v>874</v>
      </c>
      <c r="P130" s="50">
        <f>$D130*$E$6</f>
        <v>1441</v>
      </c>
      <c r="Q130" s="50"/>
      <c r="R130" s="83"/>
      <c r="T130" s="67"/>
      <c r="U130" s="67"/>
      <c r="V130" s="67"/>
      <c r="W130" s="67"/>
    </row>
    <row r="131" spans="1:23" s="34" customFormat="1" x14ac:dyDescent="0.3">
      <c r="A131" s="58" t="s">
        <v>248</v>
      </c>
      <c r="B131" s="69"/>
      <c r="C131" s="69"/>
      <c r="D131" s="42">
        <v>1</v>
      </c>
      <c r="E131" s="42">
        <f>D131*$F$5</f>
        <v>17991</v>
      </c>
      <c r="F131" s="53"/>
      <c r="G131" s="60"/>
      <c r="H131" s="60"/>
      <c r="I131" s="60"/>
      <c r="J131" s="60"/>
      <c r="K131" s="60"/>
      <c r="L131" s="50">
        <f>$D131*$B$5</f>
        <v>7854</v>
      </c>
      <c r="M131" s="50"/>
      <c r="N131" s="50">
        <f>$D131*$C$5</f>
        <v>7822</v>
      </c>
      <c r="O131" s="50">
        <f>$D131*$D$5</f>
        <v>874</v>
      </c>
      <c r="P131" s="50">
        <f>$D131*$E$5</f>
        <v>1441</v>
      </c>
      <c r="Q131" s="50"/>
      <c r="R131" s="83"/>
      <c r="T131" s="67"/>
      <c r="U131" s="67"/>
      <c r="V131" s="67"/>
      <c r="W131" s="67"/>
    </row>
    <row r="132" spans="1:23" s="34" customFormat="1" x14ac:dyDescent="0.3">
      <c r="A132" s="53" t="s">
        <v>221</v>
      </c>
      <c r="B132" s="69"/>
      <c r="C132" s="69"/>
      <c r="D132" s="42">
        <v>1</v>
      </c>
      <c r="E132" s="42">
        <f>D132*$F$6</f>
        <v>11402</v>
      </c>
      <c r="F132" s="53"/>
      <c r="G132" s="84"/>
      <c r="H132" s="84"/>
      <c r="I132" s="70"/>
      <c r="J132" s="46"/>
      <c r="K132" s="60"/>
      <c r="L132" s="50">
        <f>$D132*$B$6</f>
        <v>1265</v>
      </c>
      <c r="M132" s="31"/>
      <c r="N132" s="50">
        <f>$D132*$C$6</f>
        <v>7822</v>
      </c>
      <c r="O132" s="50">
        <f>$D132*$D$6</f>
        <v>874</v>
      </c>
      <c r="P132" s="50">
        <f>$D132*$E$6</f>
        <v>1441</v>
      </c>
      <c r="Q132" s="50"/>
      <c r="R132" s="83"/>
      <c r="T132" s="67"/>
      <c r="U132" s="67"/>
      <c r="V132" s="67"/>
      <c r="W132" s="67"/>
    </row>
    <row r="133" spans="1:23" s="34" customFormat="1" x14ac:dyDescent="0.3">
      <c r="A133" s="62" t="s">
        <v>247</v>
      </c>
      <c r="B133" s="69"/>
      <c r="C133" s="69"/>
      <c r="D133" s="42"/>
      <c r="E133" s="42"/>
      <c r="F133" s="53"/>
      <c r="G133" s="60"/>
      <c r="H133" s="60"/>
      <c r="I133" s="60"/>
      <c r="J133" s="71">
        <f>ROUND(SUM(J134:J141),0)</f>
        <v>1493226</v>
      </c>
      <c r="K133" s="71">
        <f>ROUND(SUM(K134:K141),0)</f>
        <v>352252</v>
      </c>
      <c r="L133" s="71">
        <f>ROUND(SUM(L134:L141),0)</f>
        <v>27357</v>
      </c>
      <c r="M133" s="82">
        <v>1270</v>
      </c>
      <c r="N133" s="71">
        <f>ROUND(SUM(N134:N141),0)</f>
        <v>46932</v>
      </c>
      <c r="O133" s="71">
        <f>ROUND(SUM(O134:O141),0)</f>
        <v>5244</v>
      </c>
      <c r="P133" s="71">
        <f>ROUND(SUM(P134:P141),0)</f>
        <v>8646</v>
      </c>
      <c r="Q133" s="71"/>
      <c r="R133" s="65">
        <f>SUM(J133:P133)</f>
        <v>1934927</v>
      </c>
      <c r="T133" s="64">
        <v>1714670</v>
      </c>
      <c r="U133" s="64">
        <v>41247</v>
      </c>
      <c r="V133" s="64">
        <v>47272</v>
      </c>
      <c r="W133" s="64">
        <v>1803189</v>
      </c>
    </row>
    <row r="134" spans="1:23" s="34" customFormat="1" x14ac:dyDescent="0.3">
      <c r="A134" s="62" t="s">
        <v>210</v>
      </c>
      <c r="B134" s="63">
        <f>4.75*C134</f>
        <v>28.5</v>
      </c>
      <c r="C134" s="63">
        <f>SUM(D136:D141)</f>
        <v>6</v>
      </c>
      <c r="D134" s="42">
        <v>0</v>
      </c>
      <c r="E134" s="63">
        <f>SUM(E136:E141)</f>
        <v>88179</v>
      </c>
      <c r="F134" s="61">
        <v>2083</v>
      </c>
      <c r="G134" s="60">
        <f>C134*F134*3.17*12</f>
        <v>475423.91999999993</v>
      </c>
      <c r="H134" s="60">
        <f>C134*F134*1.58*1.75*12</f>
        <v>414683.64</v>
      </c>
      <c r="I134" s="60">
        <f>C134*F134*0.19*12</f>
        <v>28495.439999999999</v>
      </c>
      <c r="J134" s="60">
        <f>G134+H134+I134</f>
        <v>918602.99999999988</v>
      </c>
      <c r="K134" s="60">
        <f>J134*$K$9</f>
        <v>216698.44769999996</v>
      </c>
      <c r="L134" s="60"/>
      <c r="M134" s="60"/>
      <c r="N134" s="60"/>
      <c r="O134" s="60"/>
      <c r="P134" s="60"/>
      <c r="Q134" s="60"/>
      <c r="R134" s="68"/>
      <c r="T134" s="67"/>
      <c r="U134" s="67"/>
      <c r="V134" s="67"/>
      <c r="W134" s="67"/>
    </row>
    <row r="135" spans="1:23" s="34" customFormat="1" x14ac:dyDescent="0.3">
      <c r="A135" s="62" t="s">
        <v>72</v>
      </c>
      <c r="B135" s="63">
        <f>4.75*C135</f>
        <v>28.5</v>
      </c>
      <c r="C135" s="63">
        <f>C134</f>
        <v>6</v>
      </c>
      <c r="D135" s="42">
        <v>0</v>
      </c>
      <c r="E135" s="42"/>
      <c r="F135" s="61">
        <v>1303</v>
      </c>
      <c r="G135" s="60">
        <f>C135*F135*3.17*12</f>
        <v>297396.71999999997</v>
      </c>
      <c r="H135" s="60">
        <f>C135*F135*1.58*1.75*12</f>
        <v>259401.24</v>
      </c>
      <c r="I135" s="60">
        <f>C135*F135*0.19*12</f>
        <v>17825.04</v>
      </c>
      <c r="J135" s="60">
        <f>G135+H135+I135</f>
        <v>574623</v>
      </c>
      <c r="K135" s="60">
        <f>J135*$K$9</f>
        <v>135553.56570000001</v>
      </c>
      <c r="L135" s="60"/>
      <c r="M135" s="31"/>
      <c r="N135" s="60"/>
      <c r="O135" s="60"/>
      <c r="P135" s="60"/>
      <c r="Q135" s="60"/>
      <c r="R135" s="68"/>
      <c r="T135" s="67"/>
      <c r="U135" s="67"/>
      <c r="V135" s="67"/>
      <c r="W135" s="67"/>
    </row>
    <row r="136" spans="1:23" s="34" customFormat="1" x14ac:dyDescent="0.3">
      <c r="A136" s="53" t="s">
        <v>222</v>
      </c>
      <c r="B136" s="69"/>
      <c r="C136" s="69"/>
      <c r="D136" s="42">
        <v>1</v>
      </c>
      <c r="E136" s="42">
        <f>D136*$F$5</f>
        <v>17991</v>
      </c>
      <c r="F136" s="53"/>
      <c r="G136" s="60"/>
      <c r="H136" s="60"/>
      <c r="I136" s="60"/>
      <c r="J136" s="60"/>
      <c r="K136" s="60"/>
      <c r="L136" s="50">
        <f>$D136*$B$5</f>
        <v>7854</v>
      </c>
      <c r="M136" s="50"/>
      <c r="N136" s="50">
        <f>$D136*$C$5</f>
        <v>7822</v>
      </c>
      <c r="O136" s="50">
        <f>$D136*$D$5</f>
        <v>874</v>
      </c>
      <c r="P136" s="50">
        <f>$D136*$E$5</f>
        <v>1441</v>
      </c>
      <c r="Q136" s="50"/>
      <c r="R136" s="68"/>
      <c r="T136" s="67"/>
      <c r="U136" s="67"/>
      <c r="V136" s="67"/>
      <c r="W136" s="67"/>
    </row>
    <row r="137" spans="1:23" s="34" customFormat="1" ht="42" x14ac:dyDescent="0.3">
      <c r="A137" s="58" t="s">
        <v>231</v>
      </c>
      <c r="B137" s="79"/>
      <c r="C137" s="69"/>
      <c r="D137" s="42">
        <v>1</v>
      </c>
      <c r="E137" s="42">
        <f>D137*$F$5</f>
        <v>17991</v>
      </c>
      <c r="F137" s="53"/>
      <c r="G137" s="60"/>
      <c r="H137" s="60"/>
      <c r="I137" s="60"/>
      <c r="J137" s="60"/>
      <c r="K137" s="60"/>
      <c r="L137" s="50">
        <f>$D137*$B$5</f>
        <v>7854</v>
      </c>
      <c r="M137" s="50"/>
      <c r="N137" s="50">
        <f>$D137*$C$5</f>
        <v>7822</v>
      </c>
      <c r="O137" s="50">
        <f>$D137*$D$5</f>
        <v>874</v>
      </c>
      <c r="P137" s="50">
        <f>$D137*$E$5</f>
        <v>1441</v>
      </c>
      <c r="Q137" s="50"/>
      <c r="R137" s="68"/>
      <c r="T137" s="67"/>
      <c r="U137" s="67"/>
      <c r="V137" s="67"/>
      <c r="W137" s="67"/>
    </row>
    <row r="138" spans="1:23" s="34" customFormat="1" x14ac:dyDescent="0.3">
      <c r="A138" s="58" t="s">
        <v>214</v>
      </c>
      <c r="B138" s="79"/>
      <c r="C138" s="69"/>
      <c r="D138" s="42">
        <v>1</v>
      </c>
      <c r="E138" s="42">
        <f>D138*$F$5</f>
        <v>17991</v>
      </c>
      <c r="F138" s="53"/>
      <c r="G138" s="60"/>
      <c r="H138" s="60"/>
      <c r="I138" s="60"/>
      <c r="J138" s="60"/>
      <c r="K138" s="60"/>
      <c r="L138" s="50">
        <f>$D138*$B$5</f>
        <v>7854</v>
      </c>
      <c r="M138" s="50"/>
      <c r="N138" s="50">
        <f>$D138*$C$5</f>
        <v>7822</v>
      </c>
      <c r="O138" s="50">
        <f>$D138*$D$5</f>
        <v>874</v>
      </c>
      <c r="P138" s="50">
        <f>$D138*$E$5</f>
        <v>1441</v>
      </c>
      <c r="Q138" s="50"/>
      <c r="R138" s="68"/>
      <c r="T138" s="67"/>
      <c r="U138" s="67"/>
      <c r="V138" s="67"/>
      <c r="W138" s="67"/>
    </row>
    <row r="139" spans="1:23" s="34" customFormat="1" x14ac:dyDescent="0.3">
      <c r="A139" s="53" t="s">
        <v>221</v>
      </c>
      <c r="B139" s="79"/>
      <c r="C139" s="69"/>
      <c r="D139" s="42">
        <v>1</v>
      </c>
      <c r="E139" s="42">
        <f>D139*$F$6</f>
        <v>11402</v>
      </c>
      <c r="F139" s="53"/>
      <c r="G139" s="60"/>
      <c r="H139" s="60"/>
      <c r="I139" s="60"/>
      <c r="J139" s="60"/>
      <c r="K139" s="60"/>
      <c r="L139" s="50">
        <f>$D139*$B$6</f>
        <v>1265</v>
      </c>
      <c r="M139" s="50"/>
      <c r="N139" s="50">
        <f>$D139*$C$6</f>
        <v>7822</v>
      </c>
      <c r="O139" s="50">
        <f>$D139*$D$6</f>
        <v>874</v>
      </c>
      <c r="P139" s="50">
        <f>$D139*$E$6</f>
        <v>1441</v>
      </c>
      <c r="Q139" s="50"/>
      <c r="R139" s="68"/>
      <c r="T139" s="67"/>
      <c r="U139" s="67"/>
      <c r="V139" s="67"/>
      <c r="W139" s="67"/>
    </row>
    <row r="140" spans="1:23" s="34" customFormat="1" ht="13.5" customHeight="1" x14ac:dyDescent="0.3">
      <c r="A140" s="58" t="s">
        <v>212</v>
      </c>
      <c r="B140" s="79"/>
      <c r="C140" s="69"/>
      <c r="D140" s="42">
        <v>1</v>
      </c>
      <c r="E140" s="42">
        <f>D140*$F$6</f>
        <v>11402</v>
      </c>
      <c r="F140" s="53"/>
      <c r="G140" s="60"/>
      <c r="H140" s="60"/>
      <c r="I140" s="60"/>
      <c r="J140" s="60"/>
      <c r="K140" s="60"/>
      <c r="L140" s="50">
        <f>$D140*$B$6</f>
        <v>1265</v>
      </c>
      <c r="M140" s="50"/>
      <c r="N140" s="50">
        <f>$D140*$C$6</f>
        <v>7822</v>
      </c>
      <c r="O140" s="50">
        <f>$D140*$D$6</f>
        <v>874</v>
      </c>
      <c r="P140" s="50">
        <f>$D140*$E$6</f>
        <v>1441</v>
      </c>
      <c r="Q140" s="50"/>
      <c r="R140" s="68"/>
      <c r="T140" s="67"/>
      <c r="U140" s="67"/>
      <c r="V140" s="67"/>
      <c r="W140" s="67"/>
    </row>
    <row r="141" spans="1:23" s="34" customFormat="1" x14ac:dyDescent="0.3">
      <c r="A141" s="53" t="s">
        <v>211</v>
      </c>
      <c r="B141" s="69"/>
      <c r="C141" s="69"/>
      <c r="D141" s="42">
        <v>1</v>
      </c>
      <c r="E141" s="42">
        <f>D141*$F$6</f>
        <v>11402</v>
      </c>
      <c r="F141" s="53"/>
      <c r="G141" s="60"/>
      <c r="H141" s="60"/>
      <c r="I141" s="60"/>
      <c r="J141" s="60"/>
      <c r="K141" s="60"/>
      <c r="L141" s="50">
        <f>$D141*$B$6</f>
        <v>1265</v>
      </c>
      <c r="M141" s="50"/>
      <c r="N141" s="50">
        <f>$D141*$C$6</f>
        <v>7822</v>
      </c>
      <c r="O141" s="50">
        <f>$D141*$D$6</f>
        <v>874</v>
      </c>
      <c r="P141" s="50">
        <f>$D141*$E$6</f>
        <v>1441</v>
      </c>
      <c r="Q141" s="50"/>
      <c r="R141" s="68"/>
      <c r="T141" s="67"/>
      <c r="U141" s="67"/>
      <c r="V141" s="67"/>
      <c r="W141" s="67"/>
    </row>
    <row r="142" spans="1:23" s="34" customFormat="1" x14ac:dyDescent="0.3">
      <c r="A142" s="62" t="s">
        <v>246</v>
      </c>
      <c r="B142" s="69"/>
      <c r="C142" s="69"/>
      <c r="D142" s="42"/>
      <c r="E142" s="42"/>
      <c r="F142" s="53"/>
      <c r="G142" s="60"/>
      <c r="H142" s="60"/>
      <c r="I142" s="60"/>
      <c r="J142" s="71">
        <f>ROUND(SUM(J143:J144),0)</f>
        <v>1244355</v>
      </c>
      <c r="K142" s="71">
        <f>ROUND(SUM(K143:K144),0)</f>
        <v>293543</v>
      </c>
      <c r="L142" s="71">
        <f>ROUND(SUM(L145:L149),0)</f>
        <v>26031</v>
      </c>
      <c r="M142" s="71">
        <v>1927</v>
      </c>
      <c r="N142" s="71">
        <f>ROUND(SUM(N145:N149),0)</f>
        <v>39110</v>
      </c>
      <c r="O142" s="71">
        <f>ROUND(SUM(O145:O149),0)</f>
        <v>4370</v>
      </c>
      <c r="P142" s="71">
        <f>ROUND(SUM(P145:P149),0)</f>
        <v>7205</v>
      </c>
      <c r="Q142" s="71">
        <f>ROUND(SUM(Q145:Q149),0)</f>
        <v>0</v>
      </c>
      <c r="R142" s="65">
        <f>SUM(J142:P142)</f>
        <v>1616541</v>
      </c>
      <c r="T142" s="64">
        <v>1428892</v>
      </c>
      <c r="U142" s="64">
        <v>37606</v>
      </c>
      <c r="V142" s="64">
        <v>40262</v>
      </c>
      <c r="W142" s="64">
        <v>1506760</v>
      </c>
    </row>
    <row r="143" spans="1:23" s="34" customFormat="1" x14ac:dyDescent="0.3">
      <c r="A143" s="62" t="s">
        <v>210</v>
      </c>
      <c r="B143" s="63">
        <f>4.75*C143</f>
        <v>23.75</v>
      </c>
      <c r="C143" s="63">
        <f>SUM(D145:D149)</f>
        <v>5</v>
      </c>
      <c r="D143" s="42"/>
      <c r="E143" s="63">
        <f>SUM(E145:E149)</f>
        <v>76777</v>
      </c>
      <c r="F143" s="61">
        <v>2083</v>
      </c>
      <c r="G143" s="60">
        <f>C143*F143*3.17*12</f>
        <v>396186.6</v>
      </c>
      <c r="H143" s="60">
        <f>C143*F143*1.58*1.75*12</f>
        <v>345569.7</v>
      </c>
      <c r="I143" s="60">
        <f>C143*F143*0.19*12</f>
        <v>23746.2</v>
      </c>
      <c r="J143" s="60">
        <f>G143+H143+I143</f>
        <v>765502.5</v>
      </c>
      <c r="K143" s="60">
        <f>J143*$K$9</f>
        <v>180582.03975</v>
      </c>
      <c r="L143" s="60"/>
      <c r="M143" s="60"/>
      <c r="N143" s="60"/>
      <c r="O143" s="60"/>
      <c r="P143" s="60"/>
      <c r="Q143" s="60"/>
      <c r="R143" s="68"/>
      <c r="T143" s="67"/>
      <c r="U143" s="67"/>
      <c r="V143" s="67"/>
      <c r="W143" s="67"/>
    </row>
    <row r="144" spans="1:23" s="34" customFormat="1" x14ac:dyDescent="0.3">
      <c r="A144" s="62" t="s">
        <v>72</v>
      </c>
      <c r="B144" s="63">
        <f>4.75*C144</f>
        <v>23.75</v>
      </c>
      <c r="C144" s="63">
        <f>C143</f>
        <v>5</v>
      </c>
      <c r="D144" s="42"/>
      <c r="E144" s="42"/>
      <c r="F144" s="61">
        <v>1303</v>
      </c>
      <c r="G144" s="60">
        <f>C144*F144*3.17*12</f>
        <v>247830.59999999998</v>
      </c>
      <c r="H144" s="60">
        <f>C144*F144*1.58*1.75*12</f>
        <v>216167.7</v>
      </c>
      <c r="I144" s="60">
        <f>C144*F144*0.19*12</f>
        <v>14854.199999999999</v>
      </c>
      <c r="J144" s="60">
        <f>G144+H144+I144</f>
        <v>478852.5</v>
      </c>
      <c r="K144" s="60">
        <f>J144*$K$9</f>
        <v>112961.30475</v>
      </c>
      <c r="L144" s="60"/>
      <c r="M144" s="60"/>
      <c r="N144" s="60"/>
      <c r="O144" s="60"/>
      <c r="P144" s="60"/>
      <c r="Q144" s="60"/>
      <c r="R144" s="68"/>
      <c r="T144" s="67"/>
      <c r="U144" s="67"/>
      <c r="V144" s="67"/>
      <c r="W144" s="67"/>
    </row>
    <row r="145" spans="1:23" s="34" customFormat="1" x14ac:dyDescent="0.3">
      <c r="A145" s="53" t="s">
        <v>222</v>
      </c>
      <c r="B145" s="69"/>
      <c r="C145" s="69"/>
      <c r="D145" s="42">
        <v>1</v>
      </c>
      <c r="E145" s="42">
        <f>D145*$F$5</f>
        <v>17991</v>
      </c>
      <c r="F145" s="53"/>
      <c r="G145" s="60"/>
      <c r="H145" s="60"/>
      <c r="I145" s="60"/>
      <c r="J145" s="60"/>
      <c r="K145" s="60"/>
      <c r="L145" s="50">
        <f>$D145*$B$5</f>
        <v>7854</v>
      </c>
      <c r="M145" s="50"/>
      <c r="N145" s="50">
        <f>$D145*$C$5</f>
        <v>7822</v>
      </c>
      <c r="O145" s="50">
        <f>$D145*$D$5</f>
        <v>874</v>
      </c>
      <c r="P145" s="50">
        <f>$D145*$E$5</f>
        <v>1441</v>
      </c>
      <c r="Q145" s="50"/>
      <c r="R145" s="68"/>
      <c r="T145" s="67"/>
      <c r="U145" s="67"/>
      <c r="V145" s="67"/>
      <c r="W145" s="67"/>
    </row>
    <row r="146" spans="1:23" s="34" customFormat="1" ht="42" x14ac:dyDescent="0.3">
      <c r="A146" s="58" t="s">
        <v>231</v>
      </c>
      <c r="B146" s="79"/>
      <c r="C146" s="69"/>
      <c r="D146" s="42">
        <v>1</v>
      </c>
      <c r="E146" s="42">
        <f>D146*$F$5</f>
        <v>17991</v>
      </c>
      <c r="F146" s="53"/>
      <c r="G146" s="60"/>
      <c r="H146" s="60"/>
      <c r="I146" s="60"/>
      <c r="J146" s="60"/>
      <c r="K146" s="60"/>
      <c r="L146" s="50">
        <f>$D146*$B$5</f>
        <v>7854</v>
      </c>
      <c r="M146" s="50"/>
      <c r="N146" s="50">
        <f>$D146*$C$5</f>
        <v>7822</v>
      </c>
      <c r="O146" s="50">
        <f>$D146*$D$5</f>
        <v>874</v>
      </c>
      <c r="P146" s="50">
        <f>$D146*$E$5</f>
        <v>1441</v>
      </c>
      <c r="Q146" s="50"/>
      <c r="R146" s="68"/>
      <c r="T146" s="67"/>
      <c r="U146" s="67"/>
      <c r="V146" s="67"/>
      <c r="W146" s="67"/>
    </row>
    <row r="147" spans="1:23" s="34" customFormat="1" x14ac:dyDescent="0.3">
      <c r="A147" s="58" t="s">
        <v>214</v>
      </c>
      <c r="B147" s="79"/>
      <c r="C147" s="69"/>
      <c r="D147" s="42">
        <v>1</v>
      </c>
      <c r="E147" s="42">
        <f>D147*$F$5</f>
        <v>17991</v>
      </c>
      <c r="F147" s="53"/>
      <c r="G147" s="60"/>
      <c r="H147" s="60"/>
      <c r="I147" s="60"/>
      <c r="J147" s="60"/>
      <c r="K147" s="60"/>
      <c r="L147" s="50">
        <f>$D147*$B$5</f>
        <v>7854</v>
      </c>
      <c r="M147" s="50"/>
      <c r="N147" s="50">
        <f>$D147*$C$5</f>
        <v>7822</v>
      </c>
      <c r="O147" s="50">
        <f>$D147*$D$5</f>
        <v>874</v>
      </c>
      <c r="P147" s="50">
        <f>$D147*$E$5</f>
        <v>1441</v>
      </c>
      <c r="Q147" s="50"/>
      <c r="R147" s="68"/>
      <c r="T147" s="67"/>
      <c r="U147" s="67"/>
      <c r="V147" s="67"/>
      <c r="W147" s="67"/>
    </row>
    <row r="148" spans="1:23" s="34" customFormat="1" x14ac:dyDescent="0.3">
      <c r="A148" s="58" t="s">
        <v>211</v>
      </c>
      <c r="B148" s="79"/>
      <c r="C148" s="69"/>
      <c r="D148" s="42">
        <v>1</v>
      </c>
      <c r="E148" s="42">
        <f>D148*$F$6</f>
        <v>11402</v>
      </c>
      <c r="F148" s="53"/>
      <c r="G148" s="60"/>
      <c r="H148" s="60"/>
      <c r="I148" s="60"/>
      <c r="J148" s="60"/>
      <c r="K148" s="60"/>
      <c r="L148" s="50">
        <v>1204</v>
      </c>
      <c r="M148" s="50"/>
      <c r="N148" s="50">
        <f>$D148*$C$5</f>
        <v>7822</v>
      </c>
      <c r="O148" s="50">
        <f>$D148*$D$5</f>
        <v>874</v>
      </c>
      <c r="P148" s="50">
        <f>$D148*$E$5</f>
        <v>1441</v>
      </c>
      <c r="Q148" s="50"/>
      <c r="R148" s="68"/>
      <c r="T148" s="67"/>
      <c r="U148" s="67"/>
      <c r="V148" s="67"/>
      <c r="W148" s="67"/>
    </row>
    <row r="149" spans="1:23" s="34" customFormat="1" ht="14.25" customHeight="1" x14ac:dyDescent="0.3">
      <c r="A149" s="53" t="s">
        <v>221</v>
      </c>
      <c r="B149" s="69"/>
      <c r="C149" s="69"/>
      <c r="D149" s="42">
        <v>1</v>
      </c>
      <c r="E149" s="42">
        <f>D149*$F$6</f>
        <v>11402</v>
      </c>
      <c r="F149" s="53"/>
      <c r="G149" s="60"/>
      <c r="H149" s="60"/>
      <c r="I149" s="60"/>
      <c r="J149" s="60"/>
      <c r="K149" s="60"/>
      <c r="L149" s="50">
        <f>$D149*$B$6</f>
        <v>1265</v>
      </c>
      <c r="M149" s="31"/>
      <c r="N149" s="50">
        <f>$D149*$C$5</f>
        <v>7822</v>
      </c>
      <c r="O149" s="50">
        <f>$D149*$D$6</f>
        <v>874</v>
      </c>
      <c r="P149" s="50">
        <f>$D149*$E$6</f>
        <v>1441</v>
      </c>
      <c r="Q149" s="50"/>
      <c r="R149" s="68"/>
      <c r="T149" s="67"/>
      <c r="U149" s="67"/>
      <c r="V149" s="67"/>
      <c r="W149" s="67"/>
    </row>
    <row r="150" spans="1:23" s="34" customFormat="1" x14ac:dyDescent="0.3">
      <c r="A150" s="62" t="s">
        <v>245</v>
      </c>
      <c r="B150" s="69"/>
      <c r="C150" s="69"/>
      <c r="D150" s="42"/>
      <c r="E150" s="42"/>
      <c r="F150" s="53"/>
      <c r="G150" s="60"/>
      <c r="H150" s="60"/>
      <c r="I150" s="60"/>
      <c r="J150" s="71">
        <f>ROUND(SUM(J151:J158),0)</f>
        <v>1493226</v>
      </c>
      <c r="K150" s="71">
        <f>ROUND(SUM(K151:K158),0)</f>
        <v>352252</v>
      </c>
      <c r="L150" s="71">
        <f>ROUND(SUM(L151:L158),0)</f>
        <v>27357</v>
      </c>
      <c r="M150" s="82">
        <v>877</v>
      </c>
      <c r="N150" s="71">
        <f>ROUND(SUM(N151:N158),0)</f>
        <v>46932</v>
      </c>
      <c r="O150" s="71">
        <f>ROUND(SUM(O151:O158),0)</f>
        <v>5244</v>
      </c>
      <c r="P150" s="71">
        <f>ROUND(SUM(P151:P158),0)</f>
        <v>8646</v>
      </c>
      <c r="Q150" s="71"/>
      <c r="R150" s="65">
        <f>SUM(J150:P150)</f>
        <v>1934534</v>
      </c>
      <c r="T150" s="64">
        <v>1714670</v>
      </c>
      <c r="U150" s="64">
        <v>41247</v>
      </c>
      <c r="V150" s="64">
        <v>46879</v>
      </c>
      <c r="W150" s="64">
        <v>1802796</v>
      </c>
    </row>
    <row r="151" spans="1:23" s="34" customFormat="1" x14ac:dyDescent="0.3">
      <c r="A151" s="62" t="s">
        <v>210</v>
      </c>
      <c r="B151" s="63">
        <f>4.75*C151</f>
        <v>28.5</v>
      </c>
      <c r="C151" s="63">
        <f>SUM(D153:D158)</f>
        <v>6</v>
      </c>
      <c r="D151" s="42"/>
      <c r="E151" s="63">
        <f>SUM(E153:E158)</f>
        <v>88179</v>
      </c>
      <c r="F151" s="61">
        <v>2083</v>
      </c>
      <c r="G151" s="60">
        <f>C151*F151*3.17*12</f>
        <v>475423.91999999993</v>
      </c>
      <c r="H151" s="60">
        <f>C151*F151*1.58*1.75*12</f>
        <v>414683.64</v>
      </c>
      <c r="I151" s="60">
        <f>C151*F151*0.19*12</f>
        <v>28495.439999999999</v>
      </c>
      <c r="J151" s="60">
        <f>G151+H151+I151</f>
        <v>918602.99999999988</v>
      </c>
      <c r="K151" s="60">
        <f>J151*$K$9</f>
        <v>216698.44769999996</v>
      </c>
      <c r="L151" s="60"/>
      <c r="M151" s="31"/>
      <c r="N151" s="60"/>
      <c r="O151" s="60"/>
      <c r="P151" s="60"/>
      <c r="Q151" s="60"/>
      <c r="R151" s="68"/>
      <c r="T151" s="67"/>
      <c r="U151" s="67"/>
      <c r="V151" s="67"/>
      <c r="W151" s="67"/>
    </row>
    <row r="152" spans="1:23" s="34" customFormat="1" x14ac:dyDescent="0.3">
      <c r="A152" s="62" t="s">
        <v>72</v>
      </c>
      <c r="B152" s="63">
        <f>4.75*C152</f>
        <v>28.5</v>
      </c>
      <c r="C152" s="63">
        <f>C151</f>
        <v>6</v>
      </c>
      <c r="D152" s="42"/>
      <c r="E152" s="42"/>
      <c r="F152" s="61">
        <v>1303</v>
      </c>
      <c r="G152" s="60">
        <f>C152*F152*3.17*12</f>
        <v>297396.71999999997</v>
      </c>
      <c r="H152" s="60">
        <f>C152*F152*1.58*1.75*12</f>
        <v>259401.24</v>
      </c>
      <c r="I152" s="60">
        <f>C152*F152*0.19*12</f>
        <v>17825.04</v>
      </c>
      <c r="J152" s="60">
        <f>G152+H152+I152</f>
        <v>574623</v>
      </c>
      <c r="K152" s="60">
        <f>J152*$K$9</f>
        <v>135553.56570000001</v>
      </c>
      <c r="L152" s="60"/>
      <c r="M152" s="60"/>
      <c r="N152" s="60"/>
      <c r="O152" s="60"/>
      <c r="P152" s="60"/>
      <c r="Q152" s="60"/>
      <c r="R152" s="68"/>
      <c r="T152" s="67"/>
      <c r="U152" s="67"/>
      <c r="V152" s="67"/>
      <c r="W152" s="67"/>
    </row>
    <row r="153" spans="1:23" s="34" customFormat="1" x14ac:dyDescent="0.3">
      <c r="A153" s="53" t="s">
        <v>222</v>
      </c>
      <c r="B153" s="69"/>
      <c r="C153" s="69"/>
      <c r="D153" s="42">
        <v>1</v>
      </c>
      <c r="E153" s="42">
        <f>D153*$F$5</f>
        <v>17991</v>
      </c>
      <c r="F153" s="53"/>
      <c r="G153" s="60"/>
      <c r="H153" s="60"/>
      <c r="I153" s="60"/>
      <c r="J153" s="60"/>
      <c r="K153" s="60"/>
      <c r="L153" s="50">
        <f>$D153*$B$5</f>
        <v>7854</v>
      </c>
      <c r="M153" s="50"/>
      <c r="N153" s="50">
        <f>$D153*$C$5</f>
        <v>7822</v>
      </c>
      <c r="O153" s="50">
        <f>$D153*$D$5</f>
        <v>874</v>
      </c>
      <c r="P153" s="50">
        <f>$D153*$E$5</f>
        <v>1441</v>
      </c>
      <c r="Q153" s="50"/>
      <c r="R153" s="68"/>
      <c r="T153" s="67"/>
      <c r="U153" s="67"/>
      <c r="V153" s="67"/>
      <c r="W153" s="67"/>
    </row>
    <row r="154" spans="1:23" s="34" customFormat="1" ht="42" x14ac:dyDescent="0.3">
      <c r="A154" s="58" t="s">
        <v>231</v>
      </c>
      <c r="B154" s="79"/>
      <c r="C154" s="69"/>
      <c r="D154" s="42">
        <v>1</v>
      </c>
      <c r="E154" s="42">
        <f>D154*$F$5</f>
        <v>17991</v>
      </c>
      <c r="F154" s="53"/>
      <c r="G154" s="60"/>
      <c r="H154" s="60"/>
      <c r="I154" s="60"/>
      <c r="J154" s="60"/>
      <c r="K154" s="60"/>
      <c r="L154" s="50">
        <f>$D154*$B$5</f>
        <v>7854</v>
      </c>
      <c r="M154" s="50"/>
      <c r="N154" s="50">
        <f>$D154*$C$5</f>
        <v>7822</v>
      </c>
      <c r="O154" s="50">
        <f>$D154*$D$5</f>
        <v>874</v>
      </c>
      <c r="P154" s="50">
        <f>$D154*$E$5</f>
        <v>1441</v>
      </c>
      <c r="Q154" s="50"/>
      <c r="R154" s="68"/>
      <c r="T154" s="67"/>
      <c r="U154" s="67"/>
      <c r="V154" s="67"/>
      <c r="W154" s="67"/>
    </row>
    <row r="155" spans="1:23" s="34" customFormat="1" x14ac:dyDescent="0.3">
      <c r="A155" s="58" t="s">
        <v>214</v>
      </c>
      <c r="B155" s="79"/>
      <c r="C155" s="69"/>
      <c r="D155" s="42">
        <v>1</v>
      </c>
      <c r="E155" s="42">
        <f>D155*$F$5</f>
        <v>17991</v>
      </c>
      <c r="F155" s="53"/>
      <c r="G155" s="60"/>
      <c r="H155" s="60"/>
      <c r="I155" s="60"/>
      <c r="J155" s="60"/>
      <c r="K155" s="60"/>
      <c r="L155" s="50">
        <f>$D155*$B$5</f>
        <v>7854</v>
      </c>
      <c r="M155" s="50"/>
      <c r="N155" s="50">
        <f>$D155*$C$5</f>
        <v>7822</v>
      </c>
      <c r="O155" s="50">
        <f>$D155*$D$5</f>
        <v>874</v>
      </c>
      <c r="P155" s="50">
        <f>$D155*$E$5</f>
        <v>1441</v>
      </c>
      <c r="Q155" s="50"/>
      <c r="R155" s="68"/>
      <c r="T155" s="67"/>
      <c r="U155" s="67"/>
      <c r="V155" s="67"/>
      <c r="W155" s="67"/>
    </row>
    <row r="156" spans="1:23" s="34" customFormat="1" x14ac:dyDescent="0.3">
      <c r="A156" s="53" t="s">
        <v>221</v>
      </c>
      <c r="B156" s="79"/>
      <c r="C156" s="69"/>
      <c r="D156" s="42">
        <v>1</v>
      </c>
      <c r="E156" s="42">
        <f>D156*$F$6</f>
        <v>11402</v>
      </c>
      <c r="F156" s="53"/>
      <c r="G156" s="60"/>
      <c r="H156" s="60"/>
      <c r="I156" s="60"/>
      <c r="J156" s="60"/>
      <c r="K156" s="60"/>
      <c r="L156" s="50">
        <f>$D156*$B$6</f>
        <v>1265</v>
      </c>
      <c r="M156" s="50"/>
      <c r="N156" s="50">
        <f>$D156*$C$6</f>
        <v>7822</v>
      </c>
      <c r="O156" s="50">
        <f>$D156*$D$6</f>
        <v>874</v>
      </c>
      <c r="P156" s="50">
        <f>$D156*$E$6</f>
        <v>1441</v>
      </c>
      <c r="Q156" s="50"/>
      <c r="R156" s="68"/>
      <c r="T156" s="67"/>
      <c r="U156" s="67"/>
      <c r="V156" s="67"/>
      <c r="W156" s="67"/>
    </row>
    <row r="157" spans="1:23" s="34" customFormat="1" x14ac:dyDescent="0.3">
      <c r="A157" s="58" t="s">
        <v>212</v>
      </c>
      <c r="B157" s="79"/>
      <c r="C157" s="69"/>
      <c r="D157" s="42">
        <v>1</v>
      </c>
      <c r="E157" s="42">
        <f>D157*$F$6</f>
        <v>11402</v>
      </c>
      <c r="F157" s="53"/>
      <c r="G157" s="60"/>
      <c r="H157" s="60"/>
      <c r="I157" s="60"/>
      <c r="J157" s="60"/>
      <c r="K157" s="60"/>
      <c r="L157" s="50">
        <f>$D157*$B$6</f>
        <v>1265</v>
      </c>
      <c r="M157" s="50"/>
      <c r="N157" s="50">
        <f>$D157*$C$6</f>
        <v>7822</v>
      </c>
      <c r="O157" s="50">
        <f>$D157*$D$6</f>
        <v>874</v>
      </c>
      <c r="P157" s="50">
        <f>$D157*$E$6</f>
        <v>1441</v>
      </c>
      <c r="Q157" s="50"/>
      <c r="R157" s="68"/>
      <c r="T157" s="67"/>
      <c r="U157" s="67"/>
      <c r="V157" s="67"/>
      <c r="W157" s="67"/>
    </row>
    <row r="158" spans="1:23" s="34" customFormat="1" x14ac:dyDescent="0.3">
      <c r="A158" s="53" t="s">
        <v>211</v>
      </c>
      <c r="B158" s="69"/>
      <c r="C158" s="69"/>
      <c r="D158" s="42">
        <v>1</v>
      </c>
      <c r="E158" s="42">
        <f>D158*$F$6</f>
        <v>11402</v>
      </c>
      <c r="F158" s="53"/>
      <c r="G158" s="60"/>
      <c r="H158" s="60"/>
      <c r="I158" s="60"/>
      <c r="J158" s="60"/>
      <c r="K158" s="60"/>
      <c r="L158" s="50">
        <f>$D158*$B$6</f>
        <v>1265</v>
      </c>
      <c r="M158" s="31"/>
      <c r="N158" s="50">
        <f>$D158*$C$6</f>
        <v>7822</v>
      </c>
      <c r="O158" s="50">
        <f>$D158*$D$6</f>
        <v>874</v>
      </c>
      <c r="P158" s="50">
        <f>$D158*$E$6</f>
        <v>1441</v>
      </c>
      <c r="Q158" s="50"/>
      <c r="R158" s="68"/>
      <c r="T158" s="67"/>
      <c r="U158" s="67"/>
      <c r="V158" s="67"/>
      <c r="W158" s="67"/>
    </row>
    <row r="159" spans="1:23" s="34" customFormat="1" x14ac:dyDescent="0.3">
      <c r="A159" s="62" t="s">
        <v>244</v>
      </c>
      <c r="B159" s="69"/>
      <c r="C159" s="69"/>
      <c r="D159" s="42"/>
      <c r="E159" s="42"/>
      <c r="F159" s="53"/>
      <c r="G159" s="60"/>
      <c r="H159" s="60"/>
      <c r="I159" s="60"/>
      <c r="J159" s="71">
        <f>ROUND(SUM(J160:J167),0)</f>
        <v>1493226</v>
      </c>
      <c r="K159" s="71">
        <f>ROUND(SUM(K160:K167),0)</f>
        <v>352252</v>
      </c>
      <c r="L159" s="71">
        <f>ROUND(SUM(L160:L167),0)</f>
        <v>27357</v>
      </c>
      <c r="M159" s="56">
        <v>1540</v>
      </c>
      <c r="N159" s="71">
        <f>ROUND(SUM(N160:N167),0)</f>
        <v>46932</v>
      </c>
      <c r="O159" s="71">
        <f>ROUND(SUM(O160:O167),0)</f>
        <v>5244</v>
      </c>
      <c r="P159" s="71">
        <f>ROUND(SUM(P160:P167),0)</f>
        <v>8646</v>
      </c>
      <c r="Q159" s="71"/>
      <c r="R159" s="65">
        <f>SUM(J159:P159)</f>
        <v>1935197</v>
      </c>
      <c r="T159" s="64">
        <v>1714670</v>
      </c>
      <c r="U159" s="64">
        <v>41247</v>
      </c>
      <c r="V159" s="64">
        <v>47542</v>
      </c>
      <c r="W159" s="64">
        <v>1803459</v>
      </c>
    </row>
    <row r="160" spans="1:23" s="34" customFormat="1" x14ac:dyDescent="0.3">
      <c r="A160" s="62" t="s">
        <v>210</v>
      </c>
      <c r="B160" s="63">
        <f>4.75*C160</f>
        <v>28.5</v>
      </c>
      <c r="C160" s="63">
        <f>SUM(D162:D167)</f>
        <v>6</v>
      </c>
      <c r="D160" s="42"/>
      <c r="E160" s="63">
        <f>SUM(E162:E167)</f>
        <v>88179</v>
      </c>
      <c r="F160" s="61">
        <v>2083</v>
      </c>
      <c r="G160" s="60">
        <f>C160*F160*3.17*12</f>
        <v>475423.91999999993</v>
      </c>
      <c r="H160" s="60">
        <f>C160*F160*1.58*1.75*12</f>
        <v>414683.64</v>
      </c>
      <c r="I160" s="60">
        <f>C160*F160*0.19*12</f>
        <v>28495.439999999999</v>
      </c>
      <c r="J160" s="60">
        <f>G160+H160+I160</f>
        <v>918602.99999999988</v>
      </c>
      <c r="K160" s="60">
        <f>J160*$K$9</f>
        <v>216698.44769999996</v>
      </c>
      <c r="L160" s="60"/>
      <c r="M160" s="60"/>
      <c r="N160" s="60"/>
      <c r="O160" s="60"/>
      <c r="P160" s="60"/>
      <c r="Q160" s="60"/>
      <c r="R160" s="68"/>
      <c r="T160" s="67"/>
      <c r="U160" s="67"/>
      <c r="V160" s="67"/>
      <c r="W160" s="67"/>
    </row>
    <row r="161" spans="1:23" s="34" customFormat="1" x14ac:dyDescent="0.3">
      <c r="A161" s="62" t="s">
        <v>72</v>
      </c>
      <c r="B161" s="63">
        <f>4.75*C161</f>
        <v>28.5</v>
      </c>
      <c r="C161" s="63">
        <f>C160</f>
        <v>6</v>
      </c>
      <c r="D161" s="42"/>
      <c r="E161" s="42"/>
      <c r="F161" s="61">
        <v>1303</v>
      </c>
      <c r="G161" s="60">
        <f>C161*F161*3.17*12</f>
        <v>297396.71999999997</v>
      </c>
      <c r="H161" s="60">
        <f>C161*F161*1.58*1.75*12</f>
        <v>259401.24</v>
      </c>
      <c r="I161" s="60">
        <f>C161*F161*0.19*12</f>
        <v>17825.04</v>
      </c>
      <c r="J161" s="60">
        <f>G161+H161+I161</f>
        <v>574623</v>
      </c>
      <c r="K161" s="60">
        <f>J161*$K$9</f>
        <v>135553.56570000001</v>
      </c>
      <c r="L161" s="60"/>
      <c r="M161" s="60"/>
      <c r="N161" s="60"/>
      <c r="O161" s="60"/>
      <c r="P161" s="60"/>
      <c r="Q161" s="60"/>
      <c r="R161" s="68"/>
      <c r="T161" s="67"/>
      <c r="U161" s="67"/>
      <c r="V161" s="67"/>
      <c r="W161" s="67"/>
    </row>
    <row r="162" spans="1:23" s="34" customFormat="1" x14ac:dyDescent="0.3">
      <c r="A162" s="53" t="s">
        <v>222</v>
      </c>
      <c r="B162" s="69"/>
      <c r="C162" s="69"/>
      <c r="D162" s="42">
        <v>1</v>
      </c>
      <c r="E162" s="42">
        <f>D162*$F$5</f>
        <v>17991</v>
      </c>
      <c r="F162" s="53"/>
      <c r="G162" s="60"/>
      <c r="H162" s="60"/>
      <c r="I162" s="60"/>
      <c r="J162" s="60"/>
      <c r="K162" s="60"/>
      <c r="L162" s="50">
        <f>$D162*$B$5</f>
        <v>7854</v>
      </c>
      <c r="M162" s="50"/>
      <c r="N162" s="50">
        <f>$D162*$C$5</f>
        <v>7822</v>
      </c>
      <c r="O162" s="50">
        <f>$D162*$D$5</f>
        <v>874</v>
      </c>
      <c r="P162" s="50">
        <f>$D162*$E$5</f>
        <v>1441</v>
      </c>
      <c r="Q162" s="50"/>
      <c r="R162" s="68"/>
      <c r="T162" s="67"/>
      <c r="U162" s="67"/>
      <c r="V162" s="67"/>
      <c r="W162" s="67"/>
    </row>
    <row r="163" spans="1:23" s="34" customFormat="1" ht="42" x14ac:dyDescent="0.3">
      <c r="A163" s="58" t="s">
        <v>231</v>
      </c>
      <c r="B163" s="79"/>
      <c r="C163" s="69"/>
      <c r="D163" s="42">
        <v>1</v>
      </c>
      <c r="E163" s="42">
        <f>D163*$F$5</f>
        <v>17991</v>
      </c>
      <c r="F163" s="53"/>
      <c r="G163" s="60"/>
      <c r="H163" s="60"/>
      <c r="I163" s="60"/>
      <c r="J163" s="60"/>
      <c r="K163" s="60"/>
      <c r="L163" s="50">
        <f>$D163*$B$5</f>
        <v>7854</v>
      </c>
      <c r="M163" s="50"/>
      <c r="N163" s="50">
        <f>$D163*$C$5</f>
        <v>7822</v>
      </c>
      <c r="O163" s="50">
        <f>$D163*$D$5</f>
        <v>874</v>
      </c>
      <c r="P163" s="50">
        <f>$D163*$E$5</f>
        <v>1441</v>
      </c>
      <c r="Q163" s="50"/>
      <c r="R163" s="68"/>
      <c r="T163" s="67"/>
      <c r="U163" s="67"/>
      <c r="V163" s="67"/>
      <c r="W163" s="67"/>
    </row>
    <row r="164" spans="1:23" s="34" customFormat="1" x14ac:dyDescent="0.3">
      <c r="A164" s="58" t="s">
        <v>214</v>
      </c>
      <c r="B164" s="79"/>
      <c r="C164" s="69"/>
      <c r="D164" s="42">
        <v>1</v>
      </c>
      <c r="E164" s="42">
        <f>D164*$F$5</f>
        <v>17991</v>
      </c>
      <c r="F164" s="53"/>
      <c r="G164" s="60"/>
      <c r="H164" s="60"/>
      <c r="I164" s="60"/>
      <c r="J164" s="60"/>
      <c r="K164" s="60"/>
      <c r="L164" s="50">
        <f>$D164*$B$5</f>
        <v>7854</v>
      </c>
      <c r="M164" s="50"/>
      <c r="N164" s="50">
        <f>$D164*$C$5</f>
        <v>7822</v>
      </c>
      <c r="O164" s="50">
        <f>$D164*$D$5</f>
        <v>874</v>
      </c>
      <c r="P164" s="50">
        <f>$D164*$E$5</f>
        <v>1441</v>
      </c>
      <c r="Q164" s="50"/>
      <c r="R164" s="68"/>
      <c r="T164" s="67"/>
      <c r="U164" s="67"/>
      <c r="V164" s="67"/>
      <c r="W164" s="67"/>
    </row>
    <row r="165" spans="1:23" s="34" customFormat="1" x14ac:dyDescent="0.3">
      <c r="A165" s="53" t="s">
        <v>221</v>
      </c>
      <c r="B165" s="79"/>
      <c r="C165" s="69"/>
      <c r="D165" s="42">
        <v>1</v>
      </c>
      <c r="E165" s="42">
        <f>D165*$F$6</f>
        <v>11402</v>
      </c>
      <c r="F165" s="53"/>
      <c r="G165" s="60"/>
      <c r="H165" s="60"/>
      <c r="I165" s="60"/>
      <c r="J165" s="60"/>
      <c r="K165" s="60"/>
      <c r="L165" s="50">
        <f>$D165*$B$6</f>
        <v>1265</v>
      </c>
      <c r="M165" s="50"/>
      <c r="N165" s="50">
        <f>$D165*$C$6</f>
        <v>7822</v>
      </c>
      <c r="O165" s="50">
        <f>$D165*$D$6</f>
        <v>874</v>
      </c>
      <c r="P165" s="50">
        <f>$D165*$E$6</f>
        <v>1441</v>
      </c>
      <c r="Q165" s="50"/>
      <c r="R165" s="68"/>
      <c r="T165" s="67"/>
      <c r="U165" s="67"/>
      <c r="V165" s="67"/>
      <c r="W165" s="67"/>
    </row>
    <row r="166" spans="1:23" s="34" customFormat="1" x14ac:dyDescent="0.3">
      <c r="A166" s="58" t="s">
        <v>212</v>
      </c>
      <c r="B166" s="79"/>
      <c r="C166" s="69"/>
      <c r="D166" s="42">
        <v>1</v>
      </c>
      <c r="E166" s="42">
        <f>D166*$F$6</f>
        <v>11402</v>
      </c>
      <c r="F166" s="53"/>
      <c r="G166" s="60"/>
      <c r="H166" s="60"/>
      <c r="I166" s="60"/>
      <c r="J166" s="60"/>
      <c r="K166" s="60"/>
      <c r="L166" s="50">
        <f>$D166*$B$6</f>
        <v>1265</v>
      </c>
      <c r="M166" s="50"/>
      <c r="N166" s="50">
        <f>$D166*$C$6</f>
        <v>7822</v>
      </c>
      <c r="O166" s="50">
        <f>$D166*$D$6</f>
        <v>874</v>
      </c>
      <c r="P166" s="50">
        <f>$D166*$E$6</f>
        <v>1441</v>
      </c>
      <c r="Q166" s="50"/>
      <c r="R166" s="68"/>
      <c r="T166" s="67"/>
      <c r="U166" s="67"/>
      <c r="V166" s="67"/>
      <c r="W166" s="67"/>
    </row>
    <row r="167" spans="1:23" s="34" customFormat="1" x14ac:dyDescent="0.3">
      <c r="A167" s="53" t="s">
        <v>211</v>
      </c>
      <c r="B167" s="69"/>
      <c r="C167" s="69"/>
      <c r="D167" s="42">
        <v>1</v>
      </c>
      <c r="E167" s="42">
        <f>D167*$F$6</f>
        <v>11402</v>
      </c>
      <c r="F167" s="53"/>
      <c r="G167" s="60"/>
      <c r="H167" s="60"/>
      <c r="I167" s="60"/>
      <c r="J167" s="60"/>
      <c r="K167" s="60"/>
      <c r="L167" s="50">
        <f>$D167*$B$6</f>
        <v>1265</v>
      </c>
      <c r="M167" s="31"/>
      <c r="N167" s="50">
        <f>$D167*$C$6</f>
        <v>7822</v>
      </c>
      <c r="O167" s="50">
        <f>$D167*$D$6</f>
        <v>874</v>
      </c>
      <c r="P167" s="50">
        <f>$D167*$E$6</f>
        <v>1441</v>
      </c>
      <c r="Q167" s="50"/>
      <c r="R167" s="68">
        <f>J167+K167</f>
        <v>0</v>
      </c>
      <c r="T167" s="67"/>
      <c r="U167" s="67"/>
      <c r="V167" s="67"/>
      <c r="W167" s="67"/>
    </row>
    <row r="168" spans="1:23" s="34" customFormat="1" x14ac:dyDescent="0.3">
      <c r="A168" s="62" t="s">
        <v>243</v>
      </c>
      <c r="B168" s="69"/>
      <c r="C168" s="69"/>
      <c r="D168" s="42"/>
      <c r="E168" s="42"/>
      <c r="F168" s="53"/>
      <c r="G168" s="60"/>
      <c r="H168" s="60"/>
      <c r="I168" s="60"/>
      <c r="J168" s="71">
        <f>ROUND(SUM(J169:J176),0)</f>
        <v>1493226</v>
      </c>
      <c r="K168" s="71">
        <f>ROUND(SUM(K169:K176),0)</f>
        <v>352252</v>
      </c>
      <c r="L168" s="71">
        <f>ROUND(SUM(L169:L176),0)</f>
        <v>27357</v>
      </c>
      <c r="M168" s="56">
        <v>1546</v>
      </c>
      <c r="N168" s="71">
        <f>ROUND(SUM(N169:N176),0)</f>
        <v>46932</v>
      </c>
      <c r="O168" s="71">
        <f>ROUND(SUM(O169:O176),0)</f>
        <v>5244</v>
      </c>
      <c r="P168" s="71">
        <f>ROUND(SUM(P169:P176),0)</f>
        <v>8646</v>
      </c>
      <c r="Q168" s="71"/>
      <c r="R168" s="72">
        <f>SUM(J168:P168)</f>
        <v>1935203</v>
      </c>
      <c r="T168" s="64">
        <v>1714670</v>
      </c>
      <c r="U168" s="64">
        <v>41247</v>
      </c>
      <c r="V168" s="64">
        <v>47548</v>
      </c>
      <c r="W168" s="64">
        <v>1803465</v>
      </c>
    </row>
    <row r="169" spans="1:23" s="34" customFormat="1" x14ac:dyDescent="0.3">
      <c r="A169" s="62" t="s">
        <v>210</v>
      </c>
      <c r="B169" s="63">
        <f>4.75*C169</f>
        <v>28.5</v>
      </c>
      <c r="C169" s="63">
        <f>SUM(D171:D176)</f>
        <v>6</v>
      </c>
      <c r="D169" s="42"/>
      <c r="E169" s="63">
        <f>SUM(E171:E176)</f>
        <v>88179</v>
      </c>
      <c r="F169" s="61">
        <v>2083</v>
      </c>
      <c r="G169" s="60">
        <f>C169*F169*3.17*12</f>
        <v>475423.91999999993</v>
      </c>
      <c r="H169" s="60">
        <f>C169*F169*1.58*1.75*12</f>
        <v>414683.64</v>
      </c>
      <c r="I169" s="60">
        <f>C169*F169*0.19*12</f>
        <v>28495.439999999999</v>
      </c>
      <c r="J169" s="60">
        <f>G169+H169+I169</f>
        <v>918602.99999999988</v>
      </c>
      <c r="K169" s="60">
        <f>J169*$K$9</f>
        <v>216698.44769999996</v>
      </c>
      <c r="L169" s="60"/>
      <c r="M169" s="60"/>
      <c r="N169" s="60"/>
      <c r="O169" s="60"/>
      <c r="P169" s="60"/>
      <c r="Q169" s="60"/>
      <c r="R169" s="68"/>
      <c r="T169" s="67"/>
      <c r="U169" s="67"/>
      <c r="V169" s="67"/>
      <c r="W169" s="67"/>
    </row>
    <row r="170" spans="1:23" s="34" customFormat="1" x14ac:dyDescent="0.3">
      <c r="A170" s="62" t="s">
        <v>72</v>
      </c>
      <c r="B170" s="63">
        <f>4.75*C170</f>
        <v>28.5</v>
      </c>
      <c r="C170" s="63">
        <f>C169</f>
        <v>6</v>
      </c>
      <c r="D170" s="42"/>
      <c r="E170" s="42"/>
      <c r="F170" s="61">
        <v>1303</v>
      </c>
      <c r="G170" s="60">
        <f>C170*F170*3.17*12</f>
        <v>297396.71999999997</v>
      </c>
      <c r="H170" s="60">
        <f>C170*F170*1.58*1.75*12</f>
        <v>259401.24</v>
      </c>
      <c r="I170" s="60">
        <f>C170*F170*0.19*12</f>
        <v>17825.04</v>
      </c>
      <c r="J170" s="60">
        <f>G170+H170+I170</f>
        <v>574623</v>
      </c>
      <c r="K170" s="60">
        <f>J170*$K$9</f>
        <v>135553.56570000001</v>
      </c>
      <c r="L170" s="60"/>
      <c r="M170" s="60"/>
      <c r="N170" s="60"/>
      <c r="O170" s="60"/>
      <c r="P170" s="60"/>
      <c r="Q170" s="60"/>
      <c r="R170" s="68"/>
      <c r="T170" s="67"/>
      <c r="U170" s="67"/>
      <c r="V170" s="67"/>
      <c r="W170" s="67"/>
    </row>
    <row r="171" spans="1:23" s="34" customFormat="1" x14ac:dyDescent="0.3">
      <c r="A171" s="53" t="s">
        <v>222</v>
      </c>
      <c r="B171" s="69"/>
      <c r="C171" s="69"/>
      <c r="D171" s="42">
        <v>1</v>
      </c>
      <c r="E171" s="42">
        <f>D171*$F$5</f>
        <v>17991</v>
      </c>
      <c r="F171" s="53"/>
      <c r="G171" s="60"/>
      <c r="H171" s="60"/>
      <c r="I171" s="60"/>
      <c r="J171" s="60"/>
      <c r="K171" s="60"/>
      <c r="L171" s="50">
        <f>$D171*$B$5</f>
        <v>7854</v>
      </c>
      <c r="M171" s="50"/>
      <c r="N171" s="50">
        <f>$D171*$C$5</f>
        <v>7822</v>
      </c>
      <c r="O171" s="50">
        <f>$D171*$D$5</f>
        <v>874</v>
      </c>
      <c r="P171" s="50">
        <f>$D171*$E$5</f>
        <v>1441</v>
      </c>
      <c r="Q171" s="50"/>
      <c r="R171" s="68"/>
      <c r="T171" s="67"/>
      <c r="U171" s="67"/>
      <c r="V171" s="67"/>
      <c r="W171" s="67"/>
    </row>
    <row r="172" spans="1:23" s="34" customFormat="1" ht="42" x14ac:dyDescent="0.3">
      <c r="A172" s="58" t="s">
        <v>231</v>
      </c>
      <c r="B172" s="79"/>
      <c r="C172" s="69"/>
      <c r="D172" s="42">
        <v>1</v>
      </c>
      <c r="E172" s="42">
        <f>D172*$F$5</f>
        <v>17991</v>
      </c>
      <c r="F172" s="53"/>
      <c r="G172" s="60"/>
      <c r="H172" s="60"/>
      <c r="I172" s="60"/>
      <c r="J172" s="60"/>
      <c r="K172" s="60"/>
      <c r="L172" s="50">
        <f>$D172*$B$5</f>
        <v>7854</v>
      </c>
      <c r="M172" s="50"/>
      <c r="N172" s="50">
        <f>$D172*$C$5</f>
        <v>7822</v>
      </c>
      <c r="O172" s="50">
        <f>$D172*$D$5</f>
        <v>874</v>
      </c>
      <c r="P172" s="50">
        <f>$D172*$E$5</f>
        <v>1441</v>
      </c>
      <c r="Q172" s="50"/>
      <c r="R172" s="68"/>
      <c r="T172" s="67"/>
      <c r="U172" s="67"/>
      <c r="V172" s="67"/>
      <c r="W172" s="67"/>
    </row>
    <row r="173" spans="1:23" s="34" customFormat="1" x14ac:dyDescent="0.3">
      <c r="A173" s="58" t="s">
        <v>214</v>
      </c>
      <c r="B173" s="79"/>
      <c r="C173" s="69"/>
      <c r="D173" s="42">
        <v>1</v>
      </c>
      <c r="E173" s="42">
        <f>D173*$F$5</f>
        <v>17991</v>
      </c>
      <c r="F173" s="53"/>
      <c r="G173" s="60"/>
      <c r="H173" s="60"/>
      <c r="I173" s="60"/>
      <c r="J173" s="60"/>
      <c r="K173" s="60"/>
      <c r="L173" s="50">
        <f>$D173*$B$5</f>
        <v>7854</v>
      </c>
      <c r="M173" s="50"/>
      <c r="N173" s="50">
        <f>$D173*$C$5</f>
        <v>7822</v>
      </c>
      <c r="O173" s="50">
        <f>$D173*$D$5</f>
        <v>874</v>
      </c>
      <c r="P173" s="50">
        <f>$D173*$E$5</f>
        <v>1441</v>
      </c>
      <c r="Q173" s="50"/>
      <c r="R173" s="68"/>
      <c r="T173" s="67"/>
      <c r="U173" s="67"/>
      <c r="V173" s="67"/>
      <c r="W173" s="67"/>
    </row>
    <row r="174" spans="1:23" s="34" customFormat="1" x14ac:dyDescent="0.3">
      <c r="A174" s="53" t="s">
        <v>221</v>
      </c>
      <c r="B174" s="69"/>
      <c r="C174" s="69"/>
      <c r="D174" s="42">
        <v>1</v>
      </c>
      <c r="E174" s="42">
        <f>D174*$F$6</f>
        <v>11402</v>
      </c>
      <c r="F174" s="53"/>
      <c r="G174" s="60"/>
      <c r="H174" s="60"/>
      <c r="I174" s="60"/>
      <c r="J174" s="60"/>
      <c r="K174" s="60"/>
      <c r="L174" s="50">
        <f>$D174*$B$6</f>
        <v>1265</v>
      </c>
      <c r="M174" s="50"/>
      <c r="N174" s="50">
        <f>$D174*$C$6</f>
        <v>7822</v>
      </c>
      <c r="O174" s="50">
        <f>$D174*$D$6</f>
        <v>874</v>
      </c>
      <c r="P174" s="50">
        <f>$D174*$E$6</f>
        <v>1441</v>
      </c>
      <c r="Q174" s="50"/>
      <c r="R174" s="68"/>
      <c r="T174" s="67"/>
      <c r="U174" s="67"/>
      <c r="V174" s="67"/>
      <c r="W174" s="67"/>
    </row>
    <row r="175" spans="1:23" s="34" customFormat="1" x14ac:dyDescent="0.3">
      <c r="A175" s="58" t="s">
        <v>212</v>
      </c>
      <c r="B175" s="69"/>
      <c r="C175" s="69"/>
      <c r="D175" s="42">
        <v>1</v>
      </c>
      <c r="E175" s="42">
        <f>D175*$F$6</f>
        <v>11402</v>
      </c>
      <c r="F175" s="53"/>
      <c r="G175" s="60"/>
      <c r="H175" s="60"/>
      <c r="I175" s="60"/>
      <c r="J175" s="60"/>
      <c r="K175" s="60"/>
      <c r="L175" s="50">
        <f>$D175*$B$6</f>
        <v>1265</v>
      </c>
      <c r="M175" s="31"/>
      <c r="N175" s="50">
        <f>$D175*$C$6</f>
        <v>7822</v>
      </c>
      <c r="O175" s="50">
        <f>$D175*$D$6</f>
        <v>874</v>
      </c>
      <c r="P175" s="50">
        <f>$D175*$E$6</f>
        <v>1441</v>
      </c>
      <c r="Q175" s="50"/>
      <c r="R175" s="68"/>
      <c r="T175" s="67"/>
      <c r="U175" s="67"/>
      <c r="V175" s="67"/>
      <c r="W175" s="67"/>
    </row>
    <row r="176" spans="1:23" s="34" customFormat="1" x14ac:dyDescent="0.3">
      <c r="A176" s="53" t="s">
        <v>211</v>
      </c>
      <c r="B176" s="69"/>
      <c r="C176" s="69"/>
      <c r="D176" s="42">
        <v>1</v>
      </c>
      <c r="E176" s="42">
        <f>D176*$F$6</f>
        <v>11402</v>
      </c>
      <c r="F176" s="53"/>
      <c r="G176" s="60"/>
      <c r="H176" s="60"/>
      <c r="I176" s="60"/>
      <c r="J176" s="60"/>
      <c r="K176" s="60"/>
      <c r="L176" s="50">
        <f>$D176*$B$6</f>
        <v>1265</v>
      </c>
      <c r="M176" s="50"/>
      <c r="N176" s="50">
        <f>$D176*$C$6</f>
        <v>7822</v>
      </c>
      <c r="O176" s="50">
        <f>$D176*$D$6</f>
        <v>874</v>
      </c>
      <c r="P176" s="50">
        <f>$D176*$E$6</f>
        <v>1441</v>
      </c>
      <c r="Q176" s="50"/>
      <c r="R176" s="68"/>
      <c r="T176" s="67"/>
      <c r="U176" s="67"/>
      <c r="V176" s="67"/>
      <c r="W176" s="67"/>
    </row>
    <row r="177" spans="1:23" s="34" customFormat="1" x14ac:dyDescent="0.3">
      <c r="A177" s="62" t="s">
        <v>242</v>
      </c>
      <c r="B177" s="69"/>
      <c r="C177" s="69"/>
      <c r="D177" s="42"/>
      <c r="E177" s="42"/>
      <c r="F177" s="53"/>
      <c r="G177" s="60"/>
      <c r="H177" s="60"/>
      <c r="I177" s="60"/>
      <c r="J177" s="71">
        <f>ROUND(SUM(J178:J185),0)</f>
        <v>1493226</v>
      </c>
      <c r="K177" s="71">
        <f>ROUND(SUM(K178:K185),0)</f>
        <v>352252</v>
      </c>
      <c r="L177" s="71">
        <f>ROUND(SUM(L178:L185),0)</f>
        <v>27357</v>
      </c>
      <c r="M177" s="82">
        <v>1079</v>
      </c>
      <c r="N177" s="71">
        <f>ROUND(SUM(N178:N185),0)</f>
        <v>46932</v>
      </c>
      <c r="O177" s="71">
        <f>ROUND(SUM(O178:O185),0)</f>
        <v>5244</v>
      </c>
      <c r="P177" s="71">
        <f>ROUND(SUM(P178:P185),0)</f>
        <v>8646</v>
      </c>
      <c r="Q177" s="71"/>
      <c r="R177" s="65">
        <f>SUM(J177:P177)</f>
        <v>1934736</v>
      </c>
      <c r="T177" s="64">
        <v>1714670</v>
      </c>
      <c r="U177" s="64">
        <v>41247</v>
      </c>
      <c r="V177" s="64">
        <v>47081</v>
      </c>
      <c r="W177" s="64">
        <v>1802998</v>
      </c>
    </row>
    <row r="178" spans="1:23" s="34" customFormat="1" x14ac:dyDescent="0.3">
      <c r="A178" s="62" t="s">
        <v>210</v>
      </c>
      <c r="B178" s="63">
        <f>4.75*C178</f>
        <v>28.5</v>
      </c>
      <c r="C178" s="63">
        <f>SUM(D180:D185)</f>
        <v>6</v>
      </c>
      <c r="D178" s="42"/>
      <c r="E178" s="63">
        <f>SUM(E180:E185)</f>
        <v>88179</v>
      </c>
      <c r="F178" s="61">
        <v>2083</v>
      </c>
      <c r="G178" s="60">
        <f>C178*F178*3.17*12</f>
        <v>475423.91999999993</v>
      </c>
      <c r="H178" s="60">
        <f>C178*F178*1.58*1.75*12</f>
        <v>414683.64</v>
      </c>
      <c r="I178" s="60">
        <f>C178*F178*0.19*12</f>
        <v>28495.439999999999</v>
      </c>
      <c r="J178" s="60">
        <f>G178+H178+I178</f>
        <v>918602.99999999988</v>
      </c>
      <c r="K178" s="60">
        <f>J178*$K$9</f>
        <v>216698.44769999996</v>
      </c>
      <c r="L178" s="60"/>
      <c r="M178" s="60"/>
      <c r="N178" s="60"/>
      <c r="O178" s="60"/>
      <c r="P178" s="60"/>
      <c r="Q178" s="60"/>
      <c r="R178" s="68"/>
      <c r="T178" s="67"/>
      <c r="U178" s="67"/>
      <c r="V178" s="67"/>
      <c r="W178" s="67"/>
    </row>
    <row r="179" spans="1:23" s="34" customFormat="1" x14ac:dyDescent="0.3">
      <c r="A179" s="62" t="s">
        <v>72</v>
      </c>
      <c r="B179" s="63">
        <f>4.75*C179</f>
        <v>28.5</v>
      </c>
      <c r="C179" s="63">
        <f>C178</f>
        <v>6</v>
      </c>
      <c r="D179" s="42"/>
      <c r="E179" s="42"/>
      <c r="F179" s="61">
        <v>1303</v>
      </c>
      <c r="G179" s="60">
        <f>C179*F179*3.17*12</f>
        <v>297396.71999999997</v>
      </c>
      <c r="H179" s="60">
        <f>C179*F179*1.58*1.75*12</f>
        <v>259401.24</v>
      </c>
      <c r="I179" s="60">
        <f>C179*F179*0.19*12</f>
        <v>17825.04</v>
      </c>
      <c r="J179" s="60">
        <f>G179+H179+I179</f>
        <v>574623</v>
      </c>
      <c r="K179" s="60">
        <f>J179*$K$9</f>
        <v>135553.56570000001</v>
      </c>
      <c r="L179" s="60"/>
      <c r="M179" s="31"/>
      <c r="N179" s="60"/>
      <c r="O179" s="60"/>
      <c r="P179" s="60"/>
      <c r="Q179" s="60"/>
      <c r="R179" s="68"/>
      <c r="T179" s="67"/>
      <c r="U179" s="67"/>
      <c r="V179" s="67"/>
      <c r="W179" s="67"/>
    </row>
    <row r="180" spans="1:23" s="34" customFormat="1" x14ac:dyDescent="0.3">
      <c r="A180" s="53" t="s">
        <v>222</v>
      </c>
      <c r="B180" s="69"/>
      <c r="C180" s="69"/>
      <c r="D180" s="42">
        <v>1</v>
      </c>
      <c r="E180" s="42">
        <f>D180*$F$5</f>
        <v>17991</v>
      </c>
      <c r="F180" s="53"/>
      <c r="G180" s="60"/>
      <c r="H180" s="60"/>
      <c r="I180" s="60"/>
      <c r="J180" s="60"/>
      <c r="K180" s="60"/>
      <c r="L180" s="50">
        <f>$D180*$B$5</f>
        <v>7854</v>
      </c>
      <c r="M180" s="50"/>
      <c r="N180" s="50">
        <f>$D180*$C$5</f>
        <v>7822</v>
      </c>
      <c r="O180" s="50">
        <f>$D180*$D$5</f>
        <v>874</v>
      </c>
      <c r="P180" s="50">
        <f>$D180*$E$5</f>
        <v>1441</v>
      </c>
      <c r="Q180" s="50"/>
      <c r="R180" s="68"/>
      <c r="T180" s="67"/>
      <c r="U180" s="67"/>
      <c r="V180" s="67"/>
      <c r="W180" s="67"/>
    </row>
    <row r="181" spans="1:23" s="34" customFormat="1" ht="42" x14ac:dyDescent="0.3">
      <c r="A181" s="58" t="s">
        <v>231</v>
      </c>
      <c r="B181" s="79"/>
      <c r="C181" s="69"/>
      <c r="D181" s="42">
        <v>1</v>
      </c>
      <c r="E181" s="42">
        <f>D181*$F$5</f>
        <v>17991</v>
      </c>
      <c r="F181" s="53"/>
      <c r="G181" s="60"/>
      <c r="H181" s="60"/>
      <c r="I181" s="60"/>
      <c r="J181" s="60"/>
      <c r="K181" s="60"/>
      <c r="L181" s="50">
        <f>$D181*$B$5</f>
        <v>7854</v>
      </c>
      <c r="M181" s="50"/>
      <c r="N181" s="50">
        <f>$D181*$C$5</f>
        <v>7822</v>
      </c>
      <c r="O181" s="50">
        <f>$D181*$D$5</f>
        <v>874</v>
      </c>
      <c r="P181" s="50">
        <f>$D181*$E$5</f>
        <v>1441</v>
      </c>
      <c r="Q181" s="50"/>
      <c r="R181" s="68"/>
      <c r="T181" s="67"/>
      <c r="U181" s="67"/>
      <c r="V181" s="67"/>
      <c r="W181" s="67"/>
    </row>
    <row r="182" spans="1:23" s="34" customFormat="1" x14ac:dyDescent="0.3">
      <c r="A182" s="58" t="s">
        <v>214</v>
      </c>
      <c r="B182" s="79"/>
      <c r="C182" s="69"/>
      <c r="D182" s="42">
        <v>1</v>
      </c>
      <c r="E182" s="42">
        <f>D182*$F$5</f>
        <v>17991</v>
      </c>
      <c r="F182" s="53"/>
      <c r="G182" s="60"/>
      <c r="H182" s="60"/>
      <c r="I182" s="60"/>
      <c r="J182" s="60"/>
      <c r="K182" s="60"/>
      <c r="L182" s="50">
        <f>$D182*$B$5</f>
        <v>7854</v>
      </c>
      <c r="M182" s="50"/>
      <c r="N182" s="50">
        <f>$D182*$C$5</f>
        <v>7822</v>
      </c>
      <c r="O182" s="50">
        <f>$D182*$D$5</f>
        <v>874</v>
      </c>
      <c r="P182" s="50">
        <f>$D182*$E$5</f>
        <v>1441</v>
      </c>
      <c r="Q182" s="50"/>
      <c r="R182" s="68"/>
      <c r="T182" s="67"/>
      <c r="U182" s="67"/>
      <c r="V182" s="67"/>
      <c r="W182" s="67"/>
    </row>
    <row r="183" spans="1:23" s="34" customFormat="1" x14ac:dyDescent="0.3">
      <c r="A183" s="53" t="s">
        <v>221</v>
      </c>
      <c r="B183" s="79"/>
      <c r="C183" s="69"/>
      <c r="D183" s="42">
        <v>1</v>
      </c>
      <c r="E183" s="42">
        <f>D183*$F$6</f>
        <v>11402</v>
      </c>
      <c r="F183" s="53"/>
      <c r="G183" s="60"/>
      <c r="H183" s="60"/>
      <c r="I183" s="60"/>
      <c r="J183" s="60"/>
      <c r="K183" s="60"/>
      <c r="L183" s="50">
        <f>$D183*$B$6</f>
        <v>1265</v>
      </c>
      <c r="M183" s="50"/>
      <c r="N183" s="50">
        <f>$D183*$C$6</f>
        <v>7822</v>
      </c>
      <c r="O183" s="50">
        <f>$D183*$D$6</f>
        <v>874</v>
      </c>
      <c r="P183" s="50">
        <f>$D183*$E$6</f>
        <v>1441</v>
      </c>
      <c r="Q183" s="50"/>
      <c r="R183" s="68"/>
      <c r="T183" s="67"/>
      <c r="U183" s="67"/>
      <c r="V183" s="67"/>
      <c r="W183" s="67"/>
    </row>
    <row r="184" spans="1:23" s="34" customFormat="1" x14ac:dyDescent="0.3">
      <c r="A184" s="58" t="s">
        <v>212</v>
      </c>
      <c r="B184" s="79"/>
      <c r="C184" s="69"/>
      <c r="D184" s="42">
        <v>1</v>
      </c>
      <c r="E184" s="42">
        <f>D184*$F$6</f>
        <v>11402</v>
      </c>
      <c r="F184" s="53"/>
      <c r="G184" s="60"/>
      <c r="H184" s="60"/>
      <c r="I184" s="60"/>
      <c r="J184" s="60"/>
      <c r="K184" s="60"/>
      <c r="L184" s="50">
        <f>$D184*$B$6</f>
        <v>1265</v>
      </c>
      <c r="M184" s="50"/>
      <c r="N184" s="50">
        <f>$D184*$C$6</f>
        <v>7822</v>
      </c>
      <c r="O184" s="50">
        <f>$D184*$D$6</f>
        <v>874</v>
      </c>
      <c r="P184" s="50">
        <f>$D184*$E$6</f>
        <v>1441</v>
      </c>
      <c r="Q184" s="50"/>
      <c r="R184" s="68"/>
      <c r="T184" s="67"/>
      <c r="U184" s="67"/>
      <c r="V184" s="67"/>
      <c r="W184" s="67"/>
    </row>
    <row r="185" spans="1:23" s="34" customFormat="1" x14ac:dyDescent="0.3">
      <c r="A185" s="53" t="s">
        <v>211</v>
      </c>
      <c r="B185" s="69"/>
      <c r="C185" s="69"/>
      <c r="D185" s="42">
        <v>1</v>
      </c>
      <c r="E185" s="42">
        <f>D185*$F$6</f>
        <v>11402</v>
      </c>
      <c r="F185" s="53"/>
      <c r="G185" s="60"/>
      <c r="H185" s="60"/>
      <c r="I185" s="60"/>
      <c r="J185" s="60"/>
      <c r="K185" s="60"/>
      <c r="L185" s="50">
        <f>$D185*$B$6</f>
        <v>1265</v>
      </c>
      <c r="M185" s="50"/>
      <c r="N185" s="50">
        <f>$D185*$C$6</f>
        <v>7822</v>
      </c>
      <c r="O185" s="50">
        <f>$D185*$D$6</f>
        <v>874</v>
      </c>
      <c r="P185" s="50">
        <f>$D185*$E$6</f>
        <v>1441</v>
      </c>
      <c r="Q185" s="50"/>
      <c r="R185" s="68"/>
      <c r="T185" s="67"/>
      <c r="U185" s="67"/>
      <c r="V185" s="67"/>
      <c r="W185" s="67"/>
    </row>
    <row r="186" spans="1:23" s="34" customFormat="1" x14ac:dyDescent="0.3">
      <c r="A186" s="62" t="s">
        <v>241</v>
      </c>
      <c r="B186" s="69"/>
      <c r="C186" s="69"/>
      <c r="D186" s="42"/>
      <c r="E186" s="42"/>
      <c r="F186" s="53"/>
      <c r="G186" s="60"/>
      <c r="H186" s="60"/>
      <c r="I186" s="60"/>
      <c r="J186" s="71">
        <f>ROUND(SUM(J187:J192),0)</f>
        <v>1493226</v>
      </c>
      <c r="K186" s="71">
        <f>ROUND(SUM(K187:K192),0)</f>
        <v>352252</v>
      </c>
      <c r="L186" s="71">
        <f>ROUND(SUM(L187:L194),0)</f>
        <v>27357</v>
      </c>
      <c r="M186" s="71">
        <v>1732</v>
      </c>
      <c r="N186" s="71">
        <f>ROUND(SUM(N187:N194),0)</f>
        <v>46932</v>
      </c>
      <c r="O186" s="71">
        <f>ROUND(SUM(O187:O194),0)</f>
        <v>5244</v>
      </c>
      <c r="P186" s="71">
        <f>ROUND(SUM(P187:P194),0)</f>
        <v>8646</v>
      </c>
      <c r="Q186" s="71"/>
      <c r="R186" s="65">
        <f>SUM(J186:P186)</f>
        <v>1935389</v>
      </c>
      <c r="T186" s="64">
        <v>1714670</v>
      </c>
      <c r="U186" s="64">
        <v>41247</v>
      </c>
      <c r="V186" s="64">
        <v>47734</v>
      </c>
      <c r="W186" s="64">
        <v>1803651</v>
      </c>
    </row>
    <row r="187" spans="1:23" s="34" customFormat="1" x14ac:dyDescent="0.3">
      <c r="A187" s="62" t="s">
        <v>210</v>
      </c>
      <c r="B187" s="63">
        <f>4.75*C187</f>
        <v>28.5</v>
      </c>
      <c r="C187" s="63">
        <f>SUM(D189:D194)</f>
        <v>6</v>
      </c>
      <c r="D187" s="42">
        <v>0</v>
      </c>
      <c r="E187" s="63">
        <f>SUM(E189:E194)</f>
        <v>88179</v>
      </c>
      <c r="F187" s="61">
        <v>2083</v>
      </c>
      <c r="G187" s="60">
        <f>C187*F187*3.17*12</f>
        <v>475423.91999999993</v>
      </c>
      <c r="H187" s="60">
        <f>C187*F187*1.58*1.75*12</f>
        <v>414683.64</v>
      </c>
      <c r="I187" s="60">
        <f>C187*F187*0.19*12</f>
        <v>28495.439999999999</v>
      </c>
      <c r="J187" s="60">
        <f>G187+H187+I187</f>
        <v>918602.99999999988</v>
      </c>
      <c r="K187" s="60">
        <f>J187*$K$9</f>
        <v>216698.44769999996</v>
      </c>
      <c r="L187" s="60"/>
      <c r="M187" s="60"/>
      <c r="N187" s="60"/>
      <c r="O187" s="60"/>
      <c r="P187" s="60"/>
      <c r="Q187" s="60"/>
      <c r="R187" s="68"/>
      <c r="T187" s="67"/>
      <c r="U187" s="67"/>
      <c r="V187" s="67"/>
      <c r="W187" s="67"/>
    </row>
    <row r="188" spans="1:23" s="34" customFormat="1" x14ac:dyDescent="0.3">
      <c r="A188" s="62" t="s">
        <v>72</v>
      </c>
      <c r="B188" s="63">
        <f>4.75*C188</f>
        <v>28.5</v>
      </c>
      <c r="C188" s="63">
        <f>C187</f>
        <v>6</v>
      </c>
      <c r="D188" s="42">
        <v>0</v>
      </c>
      <c r="E188" s="42"/>
      <c r="F188" s="61">
        <v>1303</v>
      </c>
      <c r="G188" s="60">
        <f>C188*F188*3.17*12</f>
        <v>297396.71999999997</v>
      </c>
      <c r="H188" s="60">
        <f>C188*F188*1.58*1.75*12</f>
        <v>259401.24</v>
      </c>
      <c r="I188" s="60">
        <f>C188*F188*0.19*12</f>
        <v>17825.04</v>
      </c>
      <c r="J188" s="60">
        <f>G188+H188+I188</f>
        <v>574623</v>
      </c>
      <c r="K188" s="60">
        <f>J188*$K$9</f>
        <v>135553.56570000001</v>
      </c>
      <c r="L188" s="60"/>
      <c r="M188" s="60"/>
      <c r="N188" s="60"/>
      <c r="O188" s="60"/>
      <c r="P188" s="60"/>
      <c r="Q188" s="60"/>
      <c r="R188" s="68"/>
      <c r="T188" s="67"/>
      <c r="U188" s="67"/>
      <c r="V188" s="67"/>
      <c r="W188" s="67"/>
    </row>
    <row r="189" spans="1:23" s="34" customFormat="1" x14ac:dyDescent="0.3">
      <c r="A189" s="53" t="s">
        <v>222</v>
      </c>
      <c r="B189" s="69"/>
      <c r="C189" s="69"/>
      <c r="D189" s="42">
        <v>1</v>
      </c>
      <c r="E189" s="42">
        <f>D189*$F$5</f>
        <v>17991</v>
      </c>
      <c r="F189" s="53"/>
      <c r="G189" s="60"/>
      <c r="H189" s="60"/>
      <c r="I189" s="60"/>
      <c r="J189" s="60"/>
      <c r="K189" s="60"/>
      <c r="L189" s="50">
        <f>$D189*$B$5</f>
        <v>7854</v>
      </c>
      <c r="M189" s="50"/>
      <c r="N189" s="50">
        <f>$D189*$C$5</f>
        <v>7822</v>
      </c>
      <c r="O189" s="50">
        <f>$D189*$D$5</f>
        <v>874</v>
      </c>
      <c r="P189" s="50">
        <f>$D189*$E$5</f>
        <v>1441</v>
      </c>
      <c r="Q189" s="50"/>
      <c r="R189" s="68"/>
      <c r="T189" s="67"/>
      <c r="U189" s="67"/>
      <c r="V189" s="67"/>
      <c r="W189" s="67"/>
    </row>
    <row r="190" spans="1:23" s="34" customFormat="1" ht="42" x14ac:dyDescent="0.3">
      <c r="A190" s="58" t="s">
        <v>231</v>
      </c>
      <c r="B190" s="79"/>
      <c r="C190" s="69"/>
      <c r="D190" s="42">
        <v>1</v>
      </c>
      <c r="E190" s="42">
        <f>D190*$F$5</f>
        <v>17991</v>
      </c>
      <c r="F190" s="53"/>
      <c r="G190" s="60"/>
      <c r="H190" s="60"/>
      <c r="I190" s="60"/>
      <c r="J190" s="60"/>
      <c r="K190" s="60"/>
      <c r="L190" s="50">
        <f>$D190*$B$5</f>
        <v>7854</v>
      </c>
      <c r="M190" s="50"/>
      <c r="N190" s="50">
        <f>$D190*$C$5</f>
        <v>7822</v>
      </c>
      <c r="O190" s="50">
        <f>$D190*$D$5</f>
        <v>874</v>
      </c>
      <c r="P190" s="50">
        <f>$D190*$E$5</f>
        <v>1441</v>
      </c>
      <c r="Q190" s="50"/>
      <c r="R190" s="68"/>
      <c r="T190" s="67"/>
      <c r="U190" s="67"/>
      <c r="V190" s="67"/>
      <c r="W190" s="67"/>
    </row>
    <row r="191" spans="1:23" s="34" customFormat="1" x14ac:dyDescent="0.3">
      <c r="A191" s="58" t="s">
        <v>214</v>
      </c>
      <c r="B191" s="79"/>
      <c r="C191" s="69"/>
      <c r="D191" s="42">
        <v>1</v>
      </c>
      <c r="E191" s="42">
        <f>D191*$F$5</f>
        <v>17991</v>
      </c>
      <c r="F191" s="53"/>
      <c r="G191" s="60"/>
      <c r="H191" s="60"/>
      <c r="I191" s="60"/>
      <c r="J191" s="60"/>
      <c r="K191" s="60"/>
      <c r="L191" s="50">
        <f>$D191*$B$5</f>
        <v>7854</v>
      </c>
      <c r="M191" s="56"/>
      <c r="N191" s="50">
        <f>$D191*$C$5</f>
        <v>7822</v>
      </c>
      <c r="O191" s="50">
        <f>$D191*$D$5</f>
        <v>874</v>
      </c>
      <c r="P191" s="50">
        <f>$D191*$E$5</f>
        <v>1441</v>
      </c>
      <c r="Q191" s="50"/>
      <c r="R191" s="68"/>
      <c r="T191" s="67"/>
      <c r="U191" s="67"/>
      <c r="V191" s="67"/>
      <c r="W191" s="67"/>
    </row>
    <row r="192" spans="1:23" s="34" customFormat="1" x14ac:dyDescent="0.3">
      <c r="A192" s="53" t="s">
        <v>221</v>
      </c>
      <c r="B192" s="69"/>
      <c r="C192" s="69"/>
      <c r="D192" s="42">
        <v>1</v>
      </c>
      <c r="E192" s="42">
        <f>D192*$F$6</f>
        <v>11402</v>
      </c>
      <c r="F192" s="53"/>
      <c r="G192" s="60"/>
      <c r="H192" s="60"/>
      <c r="I192" s="60"/>
      <c r="J192" s="60"/>
      <c r="K192" s="60"/>
      <c r="L192" s="50">
        <f>$D192*$B$6</f>
        <v>1265</v>
      </c>
      <c r="M192" s="56"/>
      <c r="N192" s="50">
        <f>$D192*$C$6</f>
        <v>7822</v>
      </c>
      <c r="O192" s="50">
        <f>$D192*$D$6</f>
        <v>874</v>
      </c>
      <c r="P192" s="50">
        <f>$D192*$E$6</f>
        <v>1441</v>
      </c>
      <c r="Q192" s="50"/>
      <c r="R192" s="68"/>
      <c r="T192" s="67"/>
      <c r="U192" s="67"/>
      <c r="V192" s="67"/>
      <c r="W192" s="67"/>
    </row>
    <row r="193" spans="1:23" s="34" customFormat="1" ht="13.5" customHeight="1" x14ac:dyDescent="0.3">
      <c r="A193" s="58" t="s">
        <v>212</v>
      </c>
      <c r="B193" s="79"/>
      <c r="C193" s="69"/>
      <c r="D193" s="42">
        <v>1</v>
      </c>
      <c r="E193" s="42">
        <f>D193*$F$6</f>
        <v>11402</v>
      </c>
      <c r="F193" s="53"/>
      <c r="G193" s="60"/>
      <c r="H193" s="60"/>
      <c r="I193" s="60"/>
      <c r="J193" s="60"/>
      <c r="K193" s="60"/>
      <c r="L193" s="50">
        <f>$D193*$B$6</f>
        <v>1265</v>
      </c>
      <c r="M193" s="56"/>
      <c r="N193" s="50">
        <f>$D193*$C$6</f>
        <v>7822</v>
      </c>
      <c r="O193" s="50">
        <f>$D193*$D$6</f>
        <v>874</v>
      </c>
      <c r="P193" s="50">
        <f>$D193*$E$6</f>
        <v>1441</v>
      </c>
      <c r="Q193" s="50"/>
      <c r="R193" s="68"/>
      <c r="T193" s="67"/>
      <c r="U193" s="67"/>
      <c r="V193" s="67"/>
      <c r="W193" s="67"/>
    </row>
    <row r="194" spans="1:23" s="34" customFormat="1" x14ac:dyDescent="0.3">
      <c r="A194" s="53" t="s">
        <v>211</v>
      </c>
      <c r="B194" s="69"/>
      <c r="C194" s="69"/>
      <c r="D194" s="42">
        <v>1</v>
      </c>
      <c r="E194" s="42">
        <f>D194*$F$6</f>
        <v>11402</v>
      </c>
      <c r="F194" s="53"/>
      <c r="G194" s="60"/>
      <c r="H194" s="60"/>
      <c r="I194" s="60"/>
      <c r="J194" s="60"/>
      <c r="K194" s="60"/>
      <c r="L194" s="50">
        <f>$D194*$B$6</f>
        <v>1265</v>
      </c>
      <c r="M194" s="56"/>
      <c r="N194" s="50">
        <f>$D194*$C$6</f>
        <v>7822</v>
      </c>
      <c r="O194" s="50">
        <f>$D194*$D$6</f>
        <v>874</v>
      </c>
      <c r="P194" s="50">
        <f>$D194*$E$6</f>
        <v>1441</v>
      </c>
      <c r="Q194" s="50"/>
      <c r="R194" s="68"/>
      <c r="T194" s="67"/>
      <c r="U194" s="67"/>
      <c r="V194" s="67"/>
      <c r="W194" s="67"/>
    </row>
    <row r="195" spans="1:23" s="34" customFormat="1" x14ac:dyDescent="0.3">
      <c r="A195" s="62" t="s">
        <v>240</v>
      </c>
      <c r="B195" s="69"/>
      <c r="C195" s="69"/>
      <c r="D195" s="42"/>
      <c r="E195" s="42"/>
      <c r="F195" s="53"/>
      <c r="G195" s="60"/>
      <c r="H195" s="60"/>
      <c r="I195" s="60"/>
      <c r="J195" s="71">
        <f>ROUND(SUM(J196:J201),0)</f>
        <v>995484</v>
      </c>
      <c r="K195" s="71">
        <f>ROUND(SUM(K196:K201),0)</f>
        <v>234835</v>
      </c>
      <c r="L195" s="71">
        <f>ROUND(SUM(L196:L201),0)</f>
        <v>24827</v>
      </c>
      <c r="M195" s="56">
        <v>769</v>
      </c>
      <c r="N195" s="71">
        <f>ROUND(SUM(N196:N201),0)</f>
        <v>31288</v>
      </c>
      <c r="O195" s="71">
        <f>ROUND(SUM(O196:O201),0)</f>
        <v>3496</v>
      </c>
      <c r="P195" s="71">
        <f>ROUND(SUM(P196:P201),0)</f>
        <v>5764</v>
      </c>
      <c r="Q195" s="71"/>
      <c r="R195" s="65">
        <f>SUM(J195:P195)</f>
        <v>1296463</v>
      </c>
      <c r="T195" s="64">
        <v>1143114</v>
      </c>
      <c r="U195" s="64">
        <v>34087</v>
      </c>
      <c r="V195" s="64">
        <v>31437</v>
      </c>
      <c r="W195" s="64">
        <v>1208638</v>
      </c>
    </row>
    <row r="196" spans="1:23" s="34" customFormat="1" x14ac:dyDescent="0.3">
      <c r="A196" s="62" t="s">
        <v>210</v>
      </c>
      <c r="B196" s="63">
        <f>4.75*C196</f>
        <v>19</v>
      </c>
      <c r="C196" s="63">
        <f>SUM(D198:D201)</f>
        <v>4</v>
      </c>
      <c r="D196" s="42">
        <v>0</v>
      </c>
      <c r="E196" s="63">
        <f>SUM(E198:E201)</f>
        <v>65375</v>
      </c>
      <c r="F196" s="61">
        <v>2083</v>
      </c>
      <c r="G196" s="60">
        <f>C196*F196*3.17*12</f>
        <v>316949.27999999997</v>
      </c>
      <c r="H196" s="60">
        <f>C196*F196*1.58*1.75*12</f>
        <v>276455.76</v>
      </c>
      <c r="I196" s="60">
        <f>C196*F196*0.19*12</f>
        <v>18996.96</v>
      </c>
      <c r="J196" s="60">
        <f>G196+H196+I196</f>
        <v>612402</v>
      </c>
      <c r="K196" s="60">
        <f>J196*$K$9</f>
        <v>144465.6318</v>
      </c>
      <c r="L196" s="60"/>
      <c r="M196" s="70"/>
      <c r="N196" s="60"/>
      <c r="O196" s="60"/>
      <c r="P196" s="60"/>
      <c r="Q196" s="60"/>
      <c r="R196" s="68"/>
      <c r="T196" s="67"/>
      <c r="U196" s="67"/>
      <c r="V196" s="67"/>
      <c r="W196" s="67"/>
    </row>
    <row r="197" spans="1:23" s="34" customFormat="1" x14ac:dyDescent="0.3">
      <c r="A197" s="62" t="s">
        <v>72</v>
      </c>
      <c r="B197" s="63">
        <f>4.75*C197</f>
        <v>19</v>
      </c>
      <c r="C197" s="63">
        <f>C196</f>
        <v>4</v>
      </c>
      <c r="D197" s="42">
        <v>0</v>
      </c>
      <c r="E197" s="42"/>
      <c r="F197" s="61">
        <v>1303</v>
      </c>
      <c r="G197" s="60">
        <f>C197*F197*3.17*12</f>
        <v>198264.48</v>
      </c>
      <c r="H197" s="60">
        <f>C197*F197*1.58*1.75*12</f>
        <v>172934.16000000003</v>
      </c>
      <c r="I197" s="60">
        <f>C197*F197*0.19*12</f>
        <v>11883.36</v>
      </c>
      <c r="J197" s="60">
        <f>G197+H197+I197</f>
        <v>383082</v>
      </c>
      <c r="K197" s="60">
        <f>J197*$K$9</f>
        <v>90369.043799999999</v>
      </c>
      <c r="L197" s="60"/>
      <c r="M197" s="70"/>
      <c r="N197" s="60"/>
      <c r="O197" s="60"/>
      <c r="P197" s="60"/>
      <c r="Q197" s="60"/>
      <c r="R197" s="68"/>
      <c r="T197" s="67"/>
      <c r="U197" s="67"/>
      <c r="V197" s="67"/>
      <c r="W197" s="67"/>
    </row>
    <row r="198" spans="1:23" s="34" customFormat="1" x14ac:dyDescent="0.3">
      <c r="A198" s="53" t="s">
        <v>222</v>
      </c>
      <c r="B198" s="69"/>
      <c r="C198" s="69"/>
      <c r="D198" s="42">
        <v>1</v>
      </c>
      <c r="E198" s="42">
        <f>D198*$F$5</f>
        <v>17991</v>
      </c>
      <c r="F198" s="53"/>
      <c r="G198" s="60"/>
      <c r="H198" s="60"/>
      <c r="I198" s="60"/>
      <c r="J198" s="60"/>
      <c r="K198" s="60"/>
      <c r="L198" s="50">
        <f>$D198*$B$5</f>
        <v>7854</v>
      </c>
      <c r="M198" s="56"/>
      <c r="N198" s="50">
        <f>$D198*$C$5</f>
        <v>7822</v>
      </c>
      <c r="O198" s="50">
        <f>$D198*$D$5</f>
        <v>874</v>
      </c>
      <c r="P198" s="50">
        <f>$D198*$E$5</f>
        <v>1441</v>
      </c>
      <c r="Q198" s="50"/>
      <c r="R198" s="68"/>
      <c r="T198" s="67"/>
      <c r="U198" s="67"/>
      <c r="V198" s="67"/>
      <c r="W198" s="67"/>
    </row>
    <row r="199" spans="1:23" s="34" customFormat="1" ht="42" x14ac:dyDescent="0.3">
      <c r="A199" s="58" t="s">
        <v>231</v>
      </c>
      <c r="B199" s="79"/>
      <c r="C199" s="69"/>
      <c r="D199" s="42">
        <v>1</v>
      </c>
      <c r="E199" s="42">
        <f>D199*$F$5</f>
        <v>17991</v>
      </c>
      <c r="F199" s="53"/>
      <c r="G199" s="60"/>
      <c r="H199" s="60"/>
      <c r="I199" s="60"/>
      <c r="J199" s="60"/>
      <c r="K199" s="60"/>
      <c r="L199" s="50">
        <f>$D199*$B$5</f>
        <v>7854</v>
      </c>
      <c r="M199" s="56"/>
      <c r="N199" s="50">
        <f>$D199*$C$5</f>
        <v>7822</v>
      </c>
      <c r="O199" s="50">
        <f>$D199*$D$5</f>
        <v>874</v>
      </c>
      <c r="P199" s="50">
        <f>$D199*$E$5</f>
        <v>1441</v>
      </c>
      <c r="Q199" s="50"/>
      <c r="R199" s="68"/>
      <c r="T199" s="67"/>
      <c r="U199" s="67"/>
      <c r="V199" s="67"/>
      <c r="W199" s="67"/>
    </row>
    <row r="200" spans="1:23" s="34" customFormat="1" x14ac:dyDescent="0.3">
      <c r="A200" s="58" t="s">
        <v>214</v>
      </c>
      <c r="B200" s="79"/>
      <c r="C200" s="69"/>
      <c r="D200" s="42">
        <v>1</v>
      </c>
      <c r="E200" s="42">
        <f>D200*$F$5</f>
        <v>17991</v>
      </c>
      <c r="F200" s="53"/>
      <c r="G200" s="60"/>
      <c r="H200" s="60"/>
      <c r="I200" s="60"/>
      <c r="J200" s="60"/>
      <c r="K200" s="60"/>
      <c r="L200" s="50">
        <f>$D200*$B$5</f>
        <v>7854</v>
      </c>
      <c r="M200" s="56"/>
      <c r="N200" s="50">
        <f>$D200*$C$5</f>
        <v>7822</v>
      </c>
      <c r="O200" s="50">
        <f>$D200*$D$5</f>
        <v>874</v>
      </c>
      <c r="P200" s="50">
        <f>$D200*$E$5</f>
        <v>1441</v>
      </c>
      <c r="Q200" s="50"/>
      <c r="R200" s="68"/>
      <c r="T200" s="67"/>
      <c r="U200" s="67"/>
      <c r="V200" s="67"/>
      <c r="W200" s="67"/>
    </row>
    <row r="201" spans="1:23" s="34" customFormat="1" x14ac:dyDescent="0.3">
      <c r="A201" s="53" t="s">
        <v>221</v>
      </c>
      <c r="B201" s="69"/>
      <c r="C201" s="69"/>
      <c r="D201" s="42">
        <v>1</v>
      </c>
      <c r="E201" s="42">
        <f>D201*$F$6</f>
        <v>11402</v>
      </c>
      <c r="F201" s="53"/>
      <c r="G201" s="60"/>
      <c r="H201" s="60"/>
      <c r="I201" s="60"/>
      <c r="J201" s="60"/>
      <c r="K201" s="60"/>
      <c r="L201" s="50">
        <f>$D201*$B$6</f>
        <v>1265</v>
      </c>
      <c r="M201" s="56"/>
      <c r="N201" s="50">
        <f>$D201*$C$6</f>
        <v>7822</v>
      </c>
      <c r="O201" s="50">
        <f>$D201*$D$6</f>
        <v>874</v>
      </c>
      <c r="P201" s="50">
        <f>$D201*$E$6</f>
        <v>1441</v>
      </c>
      <c r="Q201" s="50"/>
      <c r="R201" s="68"/>
      <c r="T201" s="67"/>
      <c r="U201" s="67"/>
      <c r="V201" s="67"/>
      <c r="W201" s="67"/>
    </row>
    <row r="202" spans="1:23" s="34" customFormat="1" x14ac:dyDescent="0.3">
      <c r="A202" s="62" t="s">
        <v>239</v>
      </c>
      <c r="B202" s="69"/>
      <c r="C202" s="69"/>
      <c r="D202" s="42"/>
      <c r="E202" s="42"/>
      <c r="F202" s="53"/>
      <c r="G202" s="60"/>
      <c r="H202" s="60"/>
      <c r="I202" s="60"/>
      <c r="J202" s="71">
        <f>ROUND(SUM(J203:J208),0)</f>
        <v>1493226</v>
      </c>
      <c r="K202" s="71">
        <f>ROUND(SUM(K203:K208),0)</f>
        <v>352252</v>
      </c>
      <c r="L202" s="71">
        <f>ROUND(SUM(L203:L210),0)</f>
        <v>27357</v>
      </c>
      <c r="M202" s="71">
        <v>384</v>
      </c>
      <c r="N202" s="71">
        <f>ROUND(SUM(N203:N210),0)</f>
        <v>46932</v>
      </c>
      <c r="O202" s="71">
        <f>ROUND(SUM(O203:O210),0)</f>
        <v>5244</v>
      </c>
      <c r="P202" s="71">
        <f>ROUND(SUM(P203:P210),0)</f>
        <v>8646</v>
      </c>
      <c r="Q202" s="71"/>
      <c r="R202" s="65">
        <f>SUM(J202:P202)</f>
        <v>1934041</v>
      </c>
      <c r="T202" s="64">
        <v>1714670</v>
      </c>
      <c r="U202" s="64">
        <v>41247</v>
      </c>
      <c r="V202" s="64">
        <v>46386</v>
      </c>
      <c r="W202" s="64">
        <v>1802303</v>
      </c>
    </row>
    <row r="203" spans="1:23" s="34" customFormat="1" x14ac:dyDescent="0.3">
      <c r="A203" s="62" t="s">
        <v>210</v>
      </c>
      <c r="B203" s="63">
        <f>4.75*C203</f>
        <v>28.5</v>
      </c>
      <c r="C203" s="63">
        <f>SUM(D205:D210)</f>
        <v>6</v>
      </c>
      <c r="D203" s="42">
        <v>0</v>
      </c>
      <c r="E203" s="63">
        <f>SUM(E205:E210)</f>
        <v>88179</v>
      </c>
      <c r="F203" s="61">
        <v>2083</v>
      </c>
      <c r="G203" s="60">
        <f>C203*F203*3.17*12</f>
        <v>475423.91999999993</v>
      </c>
      <c r="H203" s="60">
        <f>C203*F203*1.58*1.75*12</f>
        <v>414683.64</v>
      </c>
      <c r="I203" s="60">
        <f>C203*F203*0.19*12</f>
        <v>28495.439999999999</v>
      </c>
      <c r="J203" s="60">
        <f>G203+H203+I203</f>
        <v>918602.99999999988</v>
      </c>
      <c r="K203" s="60">
        <f>J203*$K$9</f>
        <v>216698.44769999996</v>
      </c>
      <c r="L203" s="60"/>
      <c r="M203" s="70"/>
      <c r="N203" s="60"/>
      <c r="O203" s="60"/>
      <c r="P203" s="60"/>
      <c r="Q203" s="60"/>
      <c r="R203" s="68"/>
      <c r="T203" s="67"/>
      <c r="U203" s="67"/>
      <c r="V203" s="67"/>
      <c r="W203" s="67"/>
    </row>
    <row r="204" spans="1:23" s="34" customFormat="1" x14ac:dyDescent="0.3">
      <c r="A204" s="62" t="s">
        <v>72</v>
      </c>
      <c r="B204" s="63">
        <f>4.75*C204</f>
        <v>28.5</v>
      </c>
      <c r="C204" s="63">
        <f>C203</f>
        <v>6</v>
      </c>
      <c r="D204" s="42">
        <v>0</v>
      </c>
      <c r="E204" s="42"/>
      <c r="F204" s="61">
        <v>1303</v>
      </c>
      <c r="G204" s="60">
        <f>C204*F204*3.17*12</f>
        <v>297396.71999999997</v>
      </c>
      <c r="H204" s="60">
        <f>C204*F204*1.58*1.75*12</f>
        <v>259401.24</v>
      </c>
      <c r="I204" s="60">
        <f>C204*F204*0.19*12</f>
        <v>17825.04</v>
      </c>
      <c r="J204" s="60">
        <f>G204+H204+I204</f>
        <v>574623</v>
      </c>
      <c r="K204" s="60">
        <f>J204*$K$9</f>
        <v>135553.56570000001</v>
      </c>
      <c r="L204" s="60"/>
      <c r="M204" s="70"/>
      <c r="N204" s="60"/>
      <c r="O204" s="60"/>
      <c r="P204" s="60"/>
      <c r="Q204" s="60"/>
      <c r="R204" s="68"/>
      <c r="T204" s="67"/>
      <c r="U204" s="67"/>
      <c r="V204" s="67"/>
      <c r="W204" s="67"/>
    </row>
    <row r="205" spans="1:23" s="34" customFormat="1" x14ac:dyDescent="0.3">
      <c r="A205" s="53" t="s">
        <v>222</v>
      </c>
      <c r="B205" s="69"/>
      <c r="C205" s="69"/>
      <c r="D205" s="42">
        <v>1</v>
      </c>
      <c r="E205" s="42">
        <f>D205*$F$5</f>
        <v>17991</v>
      </c>
      <c r="F205" s="53"/>
      <c r="G205" s="60"/>
      <c r="H205" s="60"/>
      <c r="I205" s="60"/>
      <c r="J205" s="60"/>
      <c r="K205" s="60"/>
      <c r="L205" s="50">
        <f>$D205*$B$5</f>
        <v>7854</v>
      </c>
      <c r="M205" s="56"/>
      <c r="N205" s="50">
        <f>$D205*$C$5</f>
        <v>7822</v>
      </c>
      <c r="O205" s="50">
        <f>$D205*$D$5</f>
        <v>874</v>
      </c>
      <c r="P205" s="50">
        <f>$D205*$E$5</f>
        <v>1441</v>
      </c>
      <c r="Q205" s="50"/>
      <c r="R205" s="68"/>
      <c r="T205" s="67"/>
      <c r="U205" s="67"/>
      <c r="V205" s="67"/>
      <c r="W205" s="67"/>
    </row>
    <row r="206" spans="1:23" s="34" customFormat="1" ht="42" x14ac:dyDescent="0.3">
      <c r="A206" s="58" t="s">
        <v>231</v>
      </c>
      <c r="B206" s="79"/>
      <c r="C206" s="69"/>
      <c r="D206" s="42">
        <v>1</v>
      </c>
      <c r="E206" s="42">
        <f>D206*$F$5</f>
        <v>17991</v>
      </c>
      <c r="F206" s="53"/>
      <c r="G206" s="60"/>
      <c r="H206" s="60"/>
      <c r="I206" s="60"/>
      <c r="J206" s="60"/>
      <c r="K206" s="60"/>
      <c r="L206" s="50">
        <f>$D206*$B$5</f>
        <v>7854</v>
      </c>
      <c r="M206" s="56"/>
      <c r="N206" s="50">
        <f>$D206*$C$5</f>
        <v>7822</v>
      </c>
      <c r="O206" s="50">
        <f>$D206*$D$5</f>
        <v>874</v>
      </c>
      <c r="P206" s="50">
        <f>$D206*$E$5</f>
        <v>1441</v>
      </c>
      <c r="Q206" s="50"/>
      <c r="R206" s="68"/>
      <c r="T206" s="67"/>
      <c r="U206" s="67"/>
      <c r="V206" s="67"/>
      <c r="W206" s="67"/>
    </row>
    <row r="207" spans="1:23" s="34" customFormat="1" x14ac:dyDescent="0.3">
      <c r="A207" s="58" t="s">
        <v>214</v>
      </c>
      <c r="B207" s="79"/>
      <c r="C207" s="69"/>
      <c r="D207" s="42">
        <v>1</v>
      </c>
      <c r="E207" s="42">
        <f>D207*$F$5</f>
        <v>17991</v>
      </c>
      <c r="F207" s="53"/>
      <c r="G207" s="60"/>
      <c r="H207" s="60"/>
      <c r="I207" s="60"/>
      <c r="J207" s="60"/>
      <c r="K207" s="60"/>
      <c r="L207" s="50">
        <f>$D207*$B$5</f>
        <v>7854</v>
      </c>
      <c r="M207" s="56"/>
      <c r="N207" s="50">
        <f>$D207*$C$5</f>
        <v>7822</v>
      </c>
      <c r="O207" s="50">
        <f>$D207*$D$5</f>
        <v>874</v>
      </c>
      <c r="P207" s="50">
        <f>$D207*$E$5</f>
        <v>1441</v>
      </c>
      <c r="Q207" s="50"/>
      <c r="R207" s="68"/>
      <c r="T207" s="67"/>
      <c r="U207" s="67"/>
      <c r="V207" s="67"/>
      <c r="W207" s="67"/>
    </row>
    <row r="208" spans="1:23" s="34" customFormat="1" x14ac:dyDescent="0.3">
      <c r="A208" s="53" t="s">
        <v>221</v>
      </c>
      <c r="B208" s="69"/>
      <c r="C208" s="69"/>
      <c r="D208" s="42">
        <v>1</v>
      </c>
      <c r="E208" s="42">
        <f>D208*$F$6</f>
        <v>11402</v>
      </c>
      <c r="F208" s="53"/>
      <c r="G208" s="60"/>
      <c r="H208" s="60"/>
      <c r="I208" s="60"/>
      <c r="J208" s="60"/>
      <c r="K208" s="60"/>
      <c r="L208" s="50">
        <f>$D208*$B$6</f>
        <v>1265</v>
      </c>
      <c r="M208" s="56"/>
      <c r="N208" s="50">
        <f>$D208*$C$6</f>
        <v>7822</v>
      </c>
      <c r="O208" s="50">
        <f>$D208*$D$6</f>
        <v>874</v>
      </c>
      <c r="P208" s="50">
        <f>$D208*$E$6</f>
        <v>1441</v>
      </c>
      <c r="Q208" s="50"/>
      <c r="R208" s="68"/>
      <c r="T208" s="67"/>
      <c r="U208" s="67"/>
      <c r="V208" s="67"/>
      <c r="W208" s="67"/>
    </row>
    <row r="209" spans="1:23" s="34" customFormat="1" ht="13.5" customHeight="1" x14ac:dyDescent="0.3">
      <c r="A209" s="58" t="s">
        <v>212</v>
      </c>
      <c r="B209" s="79"/>
      <c r="C209" s="69"/>
      <c r="D209" s="42">
        <v>1</v>
      </c>
      <c r="E209" s="42">
        <f>D209*$F$6</f>
        <v>11402</v>
      </c>
      <c r="F209" s="53"/>
      <c r="G209" s="60"/>
      <c r="H209" s="60"/>
      <c r="I209" s="60"/>
      <c r="J209" s="60"/>
      <c r="K209" s="60"/>
      <c r="L209" s="50">
        <f>$D209*$B$6</f>
        <v>1265</v>
      </c>
      <c r="M209" s="56"/>
      <c r="N209" s="50">
        <f>$D209*$C$6</f>
        <v>7822</v>
      </c>
      <c r="O209" s="50">
        <f>$D209*$D$6</f>
        <v>874</v>
      </c>
      <c r="P209" s="50">
        <f>$D209*$E$6</f>
        <v>1441</v>
      </c>
      <c r="Q209" s="50"/>
      <c r="R209" s="68"/>
      <c r="T209" s="67"/>
      <c r="U209" s="67"/>
      <c r="V209" s="67"/>
      <c r="W209" s="67"/>
    </row>
    <row r="210" spans="1:23" s="34" customFormat="1" x14ac:dyDescent="0.3">
      <c r="A210" s="53" t="s">
        <v>211</v>
      </c>
      <c r="B210" s="69"/>
      <c r="C210" s="69"/>
      <c r="D210" s="42">
        <v>1</v>
      </c>
      <c r="E210" s="42">
        <f>D210*$F$6</f>
        <v>11402</v>
      </c>
      <c r="F210" s="53"/>
      <c r="G210" s="60"/>
      <c r="H210" s="60"/>
      <c r="I210" s="60"/>
      <c r="J210" s="60"/>
      <c r="K210" s="60"/>
      <c r="L210" s="50">
        <f>$D210*$B$6</f>
        <v>1265</v>
      </c>
      <c r="M210" s="56"/>
      <c r="N210" s="50">
        <f>$D210*$C$6</f>
        <v>7822</v>
      </c>
      <c r="O210" s="50">
        <f>$D210*$D$6</f>
        <v>874</v>
      </c>
      <c r="P210" s="50">
        <f>$D210*$E$6</f>
        <v>1441</v>
      </c>
      <c r="Q210" s="50"/>
      <c r="R210" s="68"/>
      <c r="T210" s="67"/>
      <c r="U210" s="67"/>
      <c r="V210" s="67"/>
      <c r="W210" s="67"/>
    </row>
    <row r="211" spans="1:23" s="34" customFormat="1" x14ac:dyDescent="0.3">
      <c r="A211" s="62" t="s">
        <v>238</v>
      </c>
      <c r="B211" s="69"/>
      <c r="C211" s="69"/>
      <c r="D211" s="42"/>
      <c r="E211" s="42"/>
      <c r="F211" s="53"/>
      <c r="G211" s="60"/>
      <c r="H211" s="60"/>
      <c r="I211" s="60"/>
      <c r="J211" s="71">
        <f>ROUND(SUM(J212:J217),0)</f>
        <v>995484</v>
      </c>
      <c r="K211" s="71">
        <f>ROUND(SUM(K212:K217),0)</f>
        <v>234835</v>
      </c>
      <c r="L211" s="71">
        <f>ROUND(SUM(L212:L217),0)</f>
        <v>24827</v>
      </c>
      <c r="M211" s="56">
        <v>1443</v>
      </c>
      <c r="N211" s="71">
        <f>ROUND(SUM(N212:N217),0)</f>
        <v>31288</v>
      </c>
      <c r="O211" s="71">
        <f>ROUND(SUM(O212:O217),0)</f>
        <v>3496</v>
      </c>
      <c r="P211" s="71">
        <f>ROUND(SUM(P212:P217),0)</f>
        <v>5764</v>
      </c>
      <c r="Q211" s="71"/>
      <c r="R211" s="65">
        <f>SUM(J211:P211)</f>
        <v>1297137</v>
      </c>
      <c r="T211" s="64">
        <v>1143114</v>
      </c>
      <c r="U211" s="64">
        <v>34087</v>
      </c>
      <c r="V211" s="64">
        <v>32111</v>
      </c>
      <c r="W211" s="64">
        <v>1209312</v>
      </c>
    </row>
    <row r="212" spans="1:23" s="34" customFormat="1" x14ac:dyDescent="0.3">
      <c r="A212" s="62" t="s">
        <v>210</v>
      </c>
      <c r="B212" s="63">
        <f>4.75*C212</f>
        <v>19</v>
      </c>
      <c r="C212" s="63">
        <f>SUM(D214:D217)</f>
        <v>4</v>
      </c>
      <c r="D212" s="42"/>
      <c r="E212" s="63">
        <f>SUM(E214:E217)</f>
        <v>65375</v>
      </c>
      <c r="F212" s="61">
        <v>2083</v>
      </c>
      <c r="G212" s="60">
        <f>C212*F212*3.17*12</f>
        <v>316949.27999999997</v>
      </c>
      <c r="H212" s="60">
        <f>C212*F212*1.58*1.75*12</f>
        <v>276455.76</v>
      </c>
      <c r="I212" s="60">
        <f>C212*F212*0.19*12</f>
        <v>18996.96</v>
      </c>
      <c r="J212" s="60">
        <f>G212+H212+I212</f>
        <v>612402</v>
      </c>
      <c r="K212" s="60">
        <f>J212*$K$9</f>
        <v>144465.6318</v>
      </c>
      <c r="L212" s="60"/>
      <c r="M212" s="60"/>
      <c r="N212" s="60"/>
      <c r="O212" s="60"/>
      <c r="P212" s="60"/>
      <c r="Q212" s="60"/>
      <c r="R212" s="68"/>
      <c r="T212" s="67"/>
      <c r="U212" s="67"/>
      <c r="V212" s="67"/>
      <c r="W212" s="67"/>
    </row>
    <row r="213" spans="1:23" s="34" customFormat="1" x14ac:dyDescent="0.3">
      <c r="A213" s="62" t="s">
        <v>72</v>
      </c>
      <c r="B213" s="63">
        <f>4.75*C213</f>
        <v>19</v>
      </c>
      <c r="C213" s="63">
        <f>C212</f>
        <v>4</v>
      </c>
      <c r="D213" s="42"/>
      <c r="E213" s="42"/>
      <c r="F213" s="61">
        <v>1303</v>
      </c>
      <c r="G213" s="60">
        <f>C213*F213*3.17*12</f>
        <v>198264.48</v>
      </c>
      <c r="H213" s="60">
        <f>C213*F213*1.58*1.75*12</f>
        <v>172934.16000000003</v>
      </c>
      <c r="I213" s="60">
        <f>C213*F213*0.19*12</f>
        <v>11883.36</v>
      </c>
      <c r="J213" s="60">
        <f>G213+H213+I213</f>
        <v>383082</v>
      </c>
      <c r="K213" s="60">
        <f>J213*$K$9</f>
        <v>90369.043799999999</v>
      </c>
      <c r="L213" s="60"/>
      <c r="M213" s="60"/>
      <c r="N213" s="60"/>
      <c r="O213" s="60"/>
      <c r="P213" s="60"/>
      <c r="Q213" s="60"/>
      <c r="R213" s="68"/>
      <c r="T213" s="67"/>
      <c r="U213" s="67"/>
      <c r="V213" s="67"/>
      <c r="W213" s="67"/>
    </row>
    <row r="214" spans="1:23" s="34" customFormat="1" x14ac:dyDescent="0.3">
      <c r="A214" s="53" t="s">
        <v>222</v>
      </c>
      <c r="B214" s="69"/>
      <c r="C214" s="69"/>
      <c r="D214" s="42">
        <v>1</v>
      </c>
      <c r="E214" s="42">
        <f>D214*$F$5</f>
        <v>17991</v>
      </c>
      <c r="F214" s="53"/>
      <c r="G214" s="60"/>
      <c r="H214" s="60"/>
      <c r="I214" s="60"/>
      <c r="J214" s="60"/>
      <c r="K214" s="60"/>
      <c r="L214" s="50">
        <f>$D214*$B$5</f>
        <v>7854</v>
      </c>
      <c r="M214" s="50"/>
      <c r="N214" s="50">
        <f>$D214*$C$5</f>
        <v>7822</v>
      </c>
      <c r="O214" s="50">
        <f>$D214*$D$5</f>
        <v>874</v>
      </c>
      <c r="P214" s="50">
        <f>$D214*$E$5</f>
        <v>1441</v>
      </c>
      <c r="Q214" s="50"/>
      <c r="R214" s="68"/>
      <c r="T214" s="67"/>
      <c r="U214" s="67"/>
      <c r="V214" s="67"/>
      <c r="W214" s="67"/>
    </row>
    <row r="215" spans="1:23" s="34" customFormat="1" ht="42" x14ac:dyDescent="0.3">
      <c r="A215" s="58" t="s">
        <v>231</v>
      </c>
      <c r="B215" s="79"/>
      <c r="C215" s="69"/>
      <c r="D215" s="42">
        <v>1</v>
      </c>
      <c r="E215" s="42">
        <f>D215*$F$5</f>
        <v>17991</v>
      </c>
      <c r="F215" s="53"/>
      <c r="G215" s="60"/>
      <c r="H215" s="60"/>
      <c r="I215" s="60"/>
      <c r="J215" s="60"/>
      <c r="K215" s="60"/>
      <c r="L215" s="50">
        <f>$D215*$B$5</f>
        <v>7854</v>
      </c>
      <c r="M215" s="50"/>
      <c r="N215" s="50">
        <f>$D215*$C$5</f>
        <v>7822</v>
      </c>
      <c r="O215" s="50">
        <f>$D215*$D$5</f>
        <v>874</v>
      </c>
      <c r="P215" s="50">
        <f>$D215*$E$5</f>
        <v>1441</v>
      </c>
      <c r="Q215" s="50"/>
      <c r="R215" s="68"/>
      <c r="T215" s="67"/>
      <c r="U215" s="67"/>
      <c r="V215" s="67"/>
      <c r="W215" s="67"/>
    </row>
    <row r="216" spans="1:23" s="34" customFormat="1" x14ac:dyDescent="0.3">
      <c r="A216" s="58" t="s">
        <v>214</v>
      </c>
      <c r="B216" s="79"/>
      <c r="C216" s="69"/>
      <c r="D216" s="42">
        <v>1</v>
      </c>
      <c r="E216" s="42">
        <f>D216*$F$5</f>
        <v>17991</v>
      </c>
      <c r="F216" s="53"/>
      <c r="G216" s="60"/>
      <c r="H216" s="60"/>
      <c r="I216" s="60"/>
      <c r="J216" s="60"/>
      <c r="K216" s="60"/>
      <c r="L216" s="50">
        <f>$D216*$B$5</f>
        <v>7854</v>
      </c>
      <c r="M216" s="50"/>
      <c r="N216" s="50">
        <f>$D216*$C$5</f>
        <v>7822</v>
      </c>
      <c r="O216" s="50">
        <f>$D216*$D$5</f>
        <v>874</v>
      </c>
      <c r="P216" s="50">
        <f>$D216*$E$5</f>
        <v>1441</v>
      </c>
      <c r="Q216" s="50"/>
      <c r="R216" s="68"/>
      <c r="T216" s="67"/>
      <c r="U216" s="67"/>
      <c r="V216" s="67"/>
      <c r="W216" s="67"/>
    </row>
    <row r="217" spans="1:23" s="34" customFormat="1" x14ac:dyDescent="0.3">
      <c r="A217" s="53" t="s">
        <v>221</v>
      </c>
      <c r="B217" s="69"/>
      <c r="C217" s="69"/>
      <c r="D217" s="42">
        <v>1</v>
      </c>
      <c r="E217" s="42">
        <f>D217*$F$6</f>
        <v>11402</v>
      </c>
      <c r="F217" s="53"/>
      <c r="G217" s="60"/>
      <c r="H217" s="60"/>
      <c r="I217" s="60"/>
      <c r="J217" s="60"/>
      <c r="K217" s="60"/>
      <c r="L217" s="50">
        <f>$D217*$B$6</f>
        <v>1265</v>
      </c>
      <c r="M217" s="50"/>
      <c r="N217" s="50">
        <f>$D217*$C$6</f>
        <v>7822</v>
      </c>
      <c r="O217" s="50">
        <f>$D217*$D$6</f>
        <v>874</v>
      </c>
      <c r="P217" s="50">
        <f>$D217*$E$6</f>
        <v>1441</v>
      </c>
      <c r="Q217" s="50"/>
      <c r="R217" s="68"/>
      <c r="T217" s="67"/>
      <c r="U217" s="67"/>
      <c r="V217" s="67"/>
      <c r="W217" s="67"/>
    </row>
    <row r="218" spans="1:23" s="34" customFormat="1" x14ac:dyDescent="0.3">
      <c r="A218" s="62" t="s">
        <v>237</v>
      </c>
      <c r="B218" s="69"/>
      <c r="C218" s="69"/>
      <c r="D218" s="42"/>
      <c r="E218" s="42"/>
      <c r="F218" s="53"/>
      <c r="G218" s="60"/>
      <c r="H218" s="60"/>
      <c r="I218" s="60"/>
      <c r="J218" s="71">
        <f>ROUND(SUM(J219:J224),0)</f>
        <v>995484</v>
      </c>
      <c r="K218" s="71">
        <f>ROUND(SUM(K219:K224),0)</f>
        <v>234835</v>
      </c>
      <c r="L218" s="71">
        <f>ROUND(SUM(L219:L224),0)</f>
        <v>24827</v>
      </c>
      <c r="M218" s="71">
        <v>315</v>
      </c>
      <c r="N218" s="71">
        <f>ROUND(SUM(N219:N224),0)</f>
        <v>31288</v>
      </c>
      <c r="O218" s="71">
        <f>ROUND(SUM(O219:O224),0)</f>
        <v>3496</v>
      </c>
      <c r="P218" s="71">
        <f>ROUND(SUM(P219:P224),0)</f>
        <v>5764</v>
      </c>
      <c r="Q218" s="71"/>
      <c r="R218" s="65">
        <f>SUM(J218:P218)</f>
        <v>1296009</v>
      </c>
      <c r="T218" s="64">
        <v>1143114</v>
      </c>
      <c r="U218" s="64">
        <v>34087</v>
      </c>
      <c r="V218" s="64">
        <v>30983</v>
      </c>
      <c r="W218" s="64">
        <v>1208184</v>
      </c>
    </row>
    <row r="219" spans="1:23" s="34" customFormat="1" x14ac:dyDescent="0.3">
      <c r="A219" s="62" t="s">
        <v>210</v>
      </c>
      <c r="B219" s="63">
        <f>4.75*C219</f>
        <v>19</v>
      </c>
      <c r="C219" s="63">
        <f>SUM(D221:D224)</f>
        <v>4</v>
      </c>
      <c r="D219" s="42">
        <v>0</v>
      </c>
      <c r="E219" s="63">
        <f>SUM(E221:E224)</f>
        <v>65375</v>
      </c>
      <c r="F219" s="61">
        <v>2083</v>
      </c>
      <c r="G219" s="60">
        <f>C219*F219*3.17*12</f>
        <v>316949.27999999997</v>
      </c>
      <c r="H219" s="60">
        <f>C219*F219*1.58*1.75*12</f>
        <v>276455.76</v>
      </c>
      <c r="I219" s="60">
        <f>C219*F219*0.19*12</f>
        <v>18996.96</v>
      </c>
      <c r="J219" s="60">
        <f>G219+H219+I219</f>
        <v>612402</v>
      </c>
      <c r="K219" s="60">
        <f>J219*$K$9</f>
        <v>144465.6318</v>
      </c>
      <c r="L219" s="60"/>
      <c r="M219" s="60"/>
      <c r="N219" s="60"/>
      <c r="O219" s="60"/>
      <c r="P219" s="60"/>
      <c r="Q219" s="60"/>
      <c r="R219" s="68"/>
      <c r="T219" s="67"/>
      <c r="U219" s="67"/>
      <c r="V219" s="67"/>
      <c r="W219" s="67"/>
    </row>
    <row r="220" spans="1:23" s="34" customFormat="1" x14ac:dyDescent="0.3">
      <c r="A220" s="62" t="s">
        <v>72</v>
      </c>
      <c r="B220" s="63">
        <f>4.75*C220</f>
        <v>19</v>
      </c>
      <c r="C220" s="63">
        <f>C219</f>
        <v>4</v>
      </c>
      <c r="D220" s="42">
        <v>0</v>
      </c>
      <c r="E220" s="42"/>
      <c r="F220" s="61">
        <v>1303</v>
      </c>
      <c r="G220" s="60">
        <f>C220*F220*3.17*12</f>
        <v>198264.48</v>
      </c>
      <c r="H220" s="60">
        <f>C220*F220*1.58*1.75*12</f>
        <v>172934.16000000003</v>
      </c>
      <c r="I220" s="60">
        <f>C220*F220*0.19*12</f>
        <v>11883.36</v>
      </c>
      <c r="J220" s="60">
        <f>G220+H220+I220</f>
        <v>383082</v>
      </c>
      <c r="K220" s="60">
        <f>J220*$K$9</f>
        <v>90369.043799999999</v>
      </c>
      <c r="L220" s="60"/>
      <c r="M220" s="60"/>
      <c r="N220" s="60"/>
      <c r="O220" s="60"/>
      <c r="P220" s="60"/>
      <c r="Q220" s="60"/>
      <c r="R220" s="68"/>
      <c r="T220" s="67"/>
      <c r="U220" s="67"/>
      <c r="V220" s="67"/>
      <c r="W220" s="67"/>
    </row>
    <row r="221" spans="1:23" s="34" customFormat="1" x14ac:dyDescent="0.3">
      <c r="A221" s="53" t="s">
        <v>222</v>
      </c>
      <c r="B221" s="69"/>
      <c r="C221" s="69"/>
      <c r="D221" s="42">
        <v>1</v>
      </c>
      <c r="E221" s="42">
        <f>D221*$F$5</f>
        <v>17991</v>
      </c>
      <c r="F221" s="53"/>
      <c r="G221" s="60"/>
      <c r="H221" s="60"/>
      <c r="I221" s="60"/>
      <c r="J221" s="60"/>
      <c r="K221" s="60"/>
      <c r="L221" s="50">
        <f>$D221*$B$5</f>
        <v>7854</v>
      </c>
      <c r="M221" s="50"/>
      <c r="N221" s="50">
        <f>$D221*$C$5</f>
        <v>7822</v>
      </c>
      <c r="O221" s="50">
        <f>$D221*$D$5</f>
        <v>874</v>
      </c>
      <c r="P221" s="50">
        <f>$D221*$E$5</f>
        <v>1441</v>
      </c>
      <c r="Q221" s="50"/>
      <c r="R221" s="68"/>
      <c r="T221" s="67"/>
      <c r="U221" s="67"/>
      <c r="V221" s="67"/>
      <c r="W221" s="67"/>
    </row>
    <row r="222" spans="1:23" s="34" customFormat="1" ht="42" x14ac:dyDescent="0.3">
      <c r="A222" s="58" t="s">
        <v>231</v>
      </c>
      <c r="B222" s="79"/>
      <c r="C222" s="69"/>
      <c r="D222" s="42">
        <v>1</v>
      </c>
      <c r="E222" s="42">
        <f>D222*$F$5</f>
        <v>17991</v>
      </c>
      <c r="F222" s="53"/>
      <c r="G222" s="60"/>
      <c r="H222" s="60"/>
      <c r="I222" s="60"/>
      <c r="J222" s="60"/>
      <c r="K222" s="60"/>
      <c r="L222" s="50">
        <f>$D222*$B$5</f>
        <v>7854</v>
      </c>
      <c r="M222" s="50"/>
      <c r="N222" s="50">
        <f>$D222*$C$5</f>
        <v>7822</v>
      </c>
      <c r="O222" s="50">
        <f>$D222*$D$5</f>
        <v>874</v>
      </c>
      <c r="P222" s="50">
        <f>$D222*$E$5</f>
        <v>1441</v>
      </c>
      <c r="Q222" s="50"/>
      <c r="R222" s="76"/>
      <c r="T222" s="67"/>
      <c r="U222" s="67"/>
      <c r="V222" s="67"/>
      <c r="W222" s="67"/>
    </row>
    <row r="223" spans="1:23" s="34" customFormat="1" x14ac:dyDescent="0.3">
      <c r="A223" s="58" t="s">
        <v>214</v>
      </c>
      <c r="B223" s="79"/>
      <c r="C223" s="69"/>
      <c r="D223" s="42">
        <v>1</v>
      </c>
      <c r="E223" s="42">
        <f>D223*$F$5</f>
        <v>17991</v>
      </c>
      <c r="F223" s="53"/>
      <c r="G223" s="60"/>
      <c r="H223" s="60"/>
      <c r="I223" s="60"/>
      <c r="J223" s="60"/>
      <c r="K223" s="60"/>
      <c r="L223" s="50">
        <f>$D223*$B$5</f>
        <v>7854</v>
      </c>
      <c r="M223" s="50"/>
      <c r="N223" s="50">
        <f>$D223*$C$5</f>
        <v>7822</v>
      </c>
      <c r="O223" s="50">
        <f>$D223*$D$5</f>
        <v>874</v>
      </c>
      <c r="P223" s="50">
        <f>$D223*$E$5</f>
        <v>1441</v>
      </c>
      <c r="Q223" s="50"/>
      <c r="R223" s="76"/>
      <c r="T223" s="67"/>
      <c r="U223" s="67"/>
      <c r="V223" s="67"/>
      <c r="W223" s="67"/>
    </row>
    <row r="224" spans="1:23" s="34" customFormat="1" x14ac:dyDescent="0.3">
      <c r="A224" s="53" t="s">
        <v>221</v>
      </c>
      <c r="B224" s="69"/>
      <c r="C224" s="69"/>
      <c r="D224" s="42">
        <v>1</v>
      </c>
      <c r="E224" s="42">
        <f>D224*$F$6</f>
        <v>11402</v>
      </c>
      <c r="F224" s="53"/>
      <c r="G224" s="60"/>
      <c r="H224" s="60"/>
      <c r="I224" s="60"/>
      <c r="J224" s="60"/>
      <c r="K224" s="60"/>
      <c r="L224" s="50">
        <f>$D224*$B$6</f>
        <v>1265</v>
      </c>
      <c r="M224" s="50"/>
      <c r="N224" s="50">
        <f>$D224*$C$6</f>
        <v>7822</v>
      </c>
      <c r="O224" s="50">
        <f>$D224*$D$6</f>
        <v>874</v>
      </c>
      <c r="P224" s="50">
        <f>$D224*$E$6</f>
        <v>1441</v>
      </c>
      <c r="Q224" s="50"/>
      <c r="R224" s="76"/>
      <c r="T224" s="67"/>
      <c r="U224" s="67"/>
      <c r="V224" s="67"/>
      <c r="W224" s="67"/>
    </row>
    <row r="225" spans="1:23" s="34" customFormat="1" x14ac:dyDescent="0.3">
      <c r="A225" s="62" t="s">
        <v>236</v>
      </c>
      <c r="B225" s="55"/>
      <c r="C225" s="55"/>
      <c r="D225" s="42"/>
      <c r="E225" s="42"/>
      <c r="F225" s="53"/>
      <c r="G225" s="51"/>
      <c r="H225" s="51"/>
      <c r="I225" s="51"/>
      <c r="J225" s="66">
        <f>ROUND(SUM(J226:J227),0)</f>
        <v>497742</v>
      </c>
      <c r="K225" s="66">
        <f>ROUND(SUM(K226:K227),0)</f>
        <v>117417</v>
      </c>
      <c r="L225" s="66">
        <f>ROUND(SUM(L226:L229),0)</f>
        <v>15708</v>
      </c>
      <c r="M225" s="56">
        <v>397</v>
      </c>
      <c r="N225" s="66">
        <f>ROUND(SUM(N226:N229),0)</f>
        <v>15644</v>
      </c>
      <c r="O225" s="66">
        <f>ROUND(SUM(O226:O229),0)</f>
        <v>1748</v>
      </c>
      <c r="P225" s="66">
        <f>ROUND(SUM(P226:P229),0)</f>
        <v>2882</v>
      </c>
      <c r="Q225" s="31"/>
      <c r="R225" s="81">
        <f>SUM(J225:P225)</f>
        <v>651538</v>
      </c>
      <c r="T225" s="64">
        <v>571557</v>
      </c>
      <c r="U225" s="64">
        <v>20338</v>
      </c>
      <c r="V225" s="64">
        <v>15731</v>
      </c>
      <c r="W225" s="64">
        <v>607626</v>
      </c>
    </row>
    <row r="226" spans="1:23" s="34" customFormat="1" x14ac:dyDescent="0.3">
      <c r="A226" s="62" t="s">
        <v>210</v>
      </c>
      <c r="B226" s="59">
        <f>4.75*C226</f>
        <v>9.5</v>
      </c>
      <c r="C226" s="59">
        <f>SUM(D228:D229)</f>
        <v>2</v>
      </c>
      <c r="D226" s="42"/>
      <c r="E226" s="63">
        <f>SUM(E228)+E229</f>
        <v>35982</v>
      </c>
      <c r="F226" s="61">
        <v>2083</v>
      </c>
      <c r="G226" s="51">
        <f>C226*F226*3.17*12</f>
        <v>158474.63999999998</v>
      </c>
      <c r="H226" s="51">
        <f>C226*F226*1.58*1.75*12</f>
        <v>138227.88</v>
      </c>
      <c r="I226" s="51">
        <f>C226*F226*0.19*12</f>
        <v>9498.48</v>
      </c>
      <c r="J226" s="51">
        <f>G226+H226+I226</f>
        <v>306201</v>
      </c>
      <c r="K226" s="60">
        <f>J226*$K$9</f>
        <v>72232.815900000001</v>
      </c>
      <c r="L226" s="51"/>
      <c r="M226" s="51"/>
      <c r="N226" s="51"/>
      <c r="O226" s="51"/>
      <c r="P226" s="51"/>
      <c r="Q226" s="51"/>
      <c r="R226" s="76"/>
      <c r="T226" s="67"/>
      <c r="U226" s="67"/>
      <c r="V226" s="67"/>
      <c r="W226" s="67"/>
    </row>
    <row r="227" spans="1:23" s="34" customFormat="1" x14ac:dyDescent="0.3">
      <c r="A227" s="62" t="s">
        <v>72</v>
      </c>
      <c r="B227" s="59">
        <f>4.75*C227</f>
        <v>9.5</v>
      </c>
      <c r="C227" s="59">
        <f>C226</f>
        <v>2</v>
      </c>
      <c r="D227" s="42"/>
      <c r="E227" s="42"/>
      <c r="F227" s="61">
        <v>1303</v>
      </c>
      <c r="G227" s="51">
        <f>C227*F227*3.17*12</f>
        <v>99132.24</v>
      </c>
      <c r="H227" s="51">
        <f>C227*F227*1.58*1.75*12</f>
        <v>86467.080000000016</v>
      </c>
      <c r="I227" s="51">
        <f>C227*F227*0.19*12</f>
        <v>5941.68</v>
      </c>
      <c r="J227" s="51">
        <f>G227+H227+I227</f>
        <v>191541</v>
      </c>
      <c r="K227" s="60">
        <f>J227*$K$9</f>
        <v>45184.5219</v>
      </c>
      <c r="L227" s="51"/>
      <c r="M227" s="51"/>
      <c r="N227" s="51"/>
      <c r="O227" s="51"/>
      <c r="P227" s="51"/>
      <c r="Q227" s="51"/>
      <c r="R227" s="76"/>
      <c r="T227" s="67"/>
      <c r="U227" s="67"/>
      <c r="V227" s="67"/>
      <c r="W227" s="67"/>
    </row>
    <row r="228" spans="1:23" s="34" customFormat="1" ht="42" x14ac:dyDescent="0.3">
      <c r="A228" s="58" t="s">
        <v>231</v>
      </c>
      <c r="B228" s="57"/>
      <c r="C228" s="55"/>
      <c r="D228" s="54">
        <v>1</v>
      </c>
      <c r="E228" s="42">
        <f>D228*$F$5</f>
        <v>17991</v>
      </c>
      <c r="F228" s="53"/>
      <c r="G228" s="60"/>
      <c r="H228" s="60"/>
      <c r="I228" s="60"/>
      <c r="J228" s="60"/>
      <c r="K228" s="60"/>
      <c r="L228" s="50">
        <f>$D228*$B$5</f>
        <v>7854</v>
      </c>
      <c r="M228" s="50"/>
      <c r="N228" s="50">
        <f>$D228*$C$5</f>
        <v>7822</v>
      </c>
      <c r="O228" s="50">
        <f>$D228*$D$5</f>
        <v>874</v>
      </c>
      <c r="P228" s="50">
        <f>$D228*$E$5</f>
        <v>1441</v>
      </c>
      <c r="Q228" s="50"/>
      <c r="R228" s="76"/>
      <c r="T228" s="67"/>
      <c r="U228" s="67"/>
      <c r="V228" s="67"/>
      <c r="W228" s="67"/>
    </row>
    <row r="229" spans="1:23" s="34" customFormat="1" x14ac:dyDescent="0.3">
      <c r="A229" s="53" t="s">
        <v>230</v>
      </c>
      <c r="B229" s="57"/>
      <c r="C229" s="55"/>
      <c r="D229" s="54">
        <v>1</v>
      </c>
      <c r="E229" s="42">
        <f>D229*$F$5</f>
        <v>17991</v>
      </c>
      <c r="F229" s="53"/>
      <c r="G229" s="60"/>
      <c r="H229" s="60"/>
      <c r="I229" s="60"/>
      <c r="J229" s="60"/>
      <c r="K229" s="60"/>
      <c r="L229" s="50">
        <f>$D229*$B$5</f>
        <v>7854</v>
      </c>
      <c r="M229" s="31"/>
      <c r="N229" s="50">
        <f>$D229*$C$5</f>
        <v>7822</v>
      </c>
      <c r="O229" s="50">
        <f>$D229*$D$5</f>
        <v>874</v>
      </c>
      <c r="P229" s="50">
        <f>$D229*$E$5</f>
        <v>1441</v>
      </c>
      <c r="Q229" s="50"/>
      <c r="R229" s="76"/>
      <c r="T229" s="67"/>
      <c r="U229" s="67"/>
      <c r="V229" s="67"/>
      <c r="W229" s="67"/>
    </row>
    <row r="230" spans="1:23" s="34" customFormat="1" x14ac:dyDescent="0.3">
      <c r="A230" s="62" t="s">
        <v>235</v>
      </c>
      <c r="B230" s="55"/>
      <c r="C230" s="55"/>
      <c r="D230" s="42"/>
      <c r="E230" s="42"/>
      <c r="F230" s="53"/>
      <c r="G230" s="51"/>
      <c r="H230" s="51"/>
      <c r="I230" s="51"/>
      <c r="J230" s="66">
        <f>ROUND(SUM(J231:J232),0)</f>
        <v>497742</v>
      </c>
      <c r="K230" s="66">
        <f>ROUND(SUM(K231:K232),0)</f>
        <v>117417</v>
      </c>
      <c r="L230" s="66">
        <f>ROUND(SUM(L231:L234),0)</f>
        <v>15708</v>
      </c>
      <c r="M230" s="56">
        <v>1429</v>
      </c>
      <c r="N230" s="66">
        <f>ROUND(SUM(N231:N234),0)</f>
        <v>15644</v>
      </c>
      <c r="O230" s="66">
        <f>ROUND(SUM(O231:O234),0)</f>
        <v>1748</v>
      </c>
      <c r="P230" s="66">
        <f>ROUND(SUM(P231:P234),0)</f>
        <v>2882</v>
      </c>
      <c r="Q230" s="31"/>
      <c r="R230" s="81">
        <f>SUM(J230:P230)</f>
        <v>652570</v>
      </c>
      <c r="T230" s="64">
        <v>571557</v>
      </c>
      <c r="U230" s="64">
        <v>20338</v>
      </c>
      <c r="V230" s="64">
        <v>16763</v>
      </c>
      <c r="W230" s="64">
        <v>608658</v>
      </c>
    </row>
    <row r="231" spans="1:23" s="34" customFormat="1" x14ac:dyDescent="0.3">
      <c r="A231" s="62" t="s">
        <v>210</v>
      </c>
      <c r="B231" s="59">
        <f>4.75*C231</f>
        <v>9.5</v>
      </c>
      <c r="C231" s="59">
        <f>SUM(D233:D234)</f>
        <v>2</v>
      </c>
      <c r="D231" s="42"/>
      <c r="E231" s="63">
        <f>SUM(E233)+E234</f>
        <v>35982</v>
      </c>
      <c r="F231" s="61">
        <v>2083</v>
      </c>
      <c r="G231" s="51">
        <f>C231*F231*3.17*12</f>
        <v>158474.63999999998</v>
      </c>
      <c r="H231" s="51">
        <f>C231*F231*1.58*1.75*12</f>
        <v>138227.88</v>
      </c>
      <c r="I231" s="51">
        <f>C231*F231*0.19*12</f>
        <v>9498.48</v>
      </c>
      <c r="J231" s="51">
        <f>G231+H231+I231</f>
        <v>306201</v>
      </c>
      <c r="K231" s="60">
        <f>J231*$K$9</f>
        <v>72232.815900000001</v>
      </c>
      <c r="L231" s="51"/>
      <c r="M231" s="51"/>
      <c r="N231" s="51"/>
      <c r="O231" s="51"/>
      <c r="P231" s="51"/>
      <c r="Q231" s="51"/>
      <c r="R231" s="76"/>
      <c r="T231" s="67"/>
      <c r="U231" s="67"/>
      <c r="V231" s="67"/>
      <c r="W231" s="67"/>
    </row>
    <row r="232" spans="1:23" s="34" customFormat="1" x14ac:dyDescent="0.3">
      <c r="A232" s="62" t="s">
        <v>72</v>
      </c>
      <c r="B232" s="59">
        <f>4.75*C232</f>
        <v>9.5</v>
      </c>
      <c r="C232" s="59">
        <f>C231</f>
        <v>2</v>
      </c>
      <c r="D232" s="42"/>
      <c r="E232" s="42"/>
      <c r="F232" s="61">
        <v>1303</v>
      </c>
      <c r="G232" s="51">
        <f>C232*F232*3.17*12</f>
        <v>99132.24</v>
      </c>
      <c r="H232" s="51">
        <f>C232*F232*1.58*1.75*12</f>
        <v>86467.080000000016</v>
      </c>
      <c r="I232" s="51">
        <f>C232*F232*0.19*12</f>
        <v>5941.68</v>
      </c>
      <c r="J232" s="51">
        <f>G232+H232+I232</f>
        <v>191541</v>
      </c>
      <c r="K232" s="60">
        <f>J232*$K$9</f>
        <v>45184.5219</v>
      </c>
      <c r="L232" s="51"/>
      <c r="M232" s="51"/>
      <c r="N232" s="51"/>
      <c r="O232" s="51"/>
      <c r="P232" s="51"/>
      <c r="Q232" s="51"/>
      <c r="R232" s="76"/>
      <c r="T232" s="67"/>
      <c r="U232" s="67"/>
      <c r="V232" s="67"/>
      <c r="W232" s="67"/>
    </row>
    <row r="233" spans="1:23" s="34" customFormat="1" ht="42" x14ac:dyDescent="0.3">
      <c r="A233" s="58" t="s">
        <v>231</v>
      </c>
      <c r="B233" s="57"/>
      <c r="C233" s="55"/>
      <c r="D233" s="54">
        <v>1</v>
      </c>
      <c r="E233" s="42">
        <f>D233*$F$5</f>
        <v>17991</v>
      </c>
      <c r="F233" s="53"/>
      <c r="G233" s="60"/>
      <c r="H233" s="60"/>
      <c r="I233" s="60"/>
      <c r="J233" s="60"/>
      <c r="K233" s="60"/>
      <c r="L233" s="50">
        <f>$D233*$B$5</f>
        <v>7854</v>
      </c>
      <c r="M233" s="50"/>
      <c r="N233" s="50">
        <f>$D233*$C$5</f>
        <v>7822</v>
      </c>
      <c r="O233" s="50">
        <f>$D233*$D$5</f>
        <v>874</v>
      </c>
      <c r="P233" s="50">
        <f>$D233*$E$5</f>
        <v>1441</v>
      </c>
      <c r="Q233" s="50"/>
      <c r="R233" s="76"/>
      <c r="T233" s="67"/>
      <c r="U233" s="67"/>
      <c r="V233" s="67"/>
      <c r="W233" s="67"/>
    </row>
    <row r="234" spans="1:23" s="34" customFormat="1" x14ac:dyDescent="0.3">
      <c r="A234" s="53" t="s">
        <v>230</v>
      </c>
      <c r="B234" s="57"/>
      <c r="C234" s="55"/>
      <c r="D234" s="54">
        <v>1</v>
      </c>
      <c r="E234" s="42">
        <f>D234*$F$5</f>
        <v>17991</v>
      </c>
      <c r="F234" s="53"/>
      <c r="G234" s="60"/>
      <c r="H234" s="60"/>
      <c r="I234" s="60"/>
      <c r="J234" s="60"/>
      <c r="K234" s="60"/>
      <c r="L234" s="50">
        <f>$D234*$B$5</f>
        <v>7854</v>
      </c>
      <c r="M234" s="31"/>
      <c r="N234" s="50">
        <f>$D234*$C$5</f>
        <v>7822</v>
      </c>
      <c r="O234" s="50">
        <f>$D234*$D$5</f>
        <v>874</v>
      </c>
      <c r="P234" s="50">
        <f>$D234*$E$5</f>
        <v>1441</v>
      </c>
      <c r="Q234" s="50"/>
      <c r="R234" s="76"/>
      <c r="T234" s="67"/>
      <c r="U234" s="67"/>
      <c r="V234" s="67"/>
      <c r="W234" s="67"/>
    </row>
    <row r="235" spans="1:23" s="34" customFormat="1" x14ac:dyDescent="0.3">
      <c r="A235" s="62" t="s">
        <v>234</v>
      </c>
      <c r="B235" s="55"/>
      <c r="C235" s="55"/>
      <c r="D235" s="42"/>
      <c r="E235" s="42"/>
      <c r="F235" s="53"/>
      <c r="G235" s="51"/>
      <c r="H235" s="51"/>
      <c r="I235" s="51"/>
      <c r="J235" s="66">
        <f>ROUND(SUM(J236:J237),0)</f>
        <v>497742</v>
      </c>
      <c r="K235" s="66">
        <f>ROUND(SUM(K236:K237),0)</f>
        <v>117417</v>
      </c>
      <c r="L235" s="66">
        <f>ROUND(SUM(L236:L239),0)</f>
        <v>15708</v>
      </c>
      <c r="M235" s="56">
        <v>1321</v>
      </c>
      <c r="N235" s="66">
        <f>ROUND(SUM(N236:N239),0)</f>
        <v>15644</v>
      </c>
      <c r="O235" s="66">
        <f>ROUND(SUM(O236:O239),0)</f>
        <v>1748</v>
      </c>
      <c r="P235" s="66">
        <f>ROUND(SUM(P236:P239),0)</f>
        <v>2882</v>
      </c>
      <c r="Q235" s="31"/>
      <c r="R235" s="81">
        <f>SUM(J235:P235)</f>
        <v>652462</v>
      </c>
      <c r="T235" s="64">
        <v>571557</v>
      </c>
      <c r="U235" s="64">
        <v>20338</v>
      </c>
      <c r="V235" s="64">
        <v>16655</v>
      </c>
      <c r="W235" s="64">
        <v>608550</v>
      </c>
    </row>
    <row r="236" spans="1:23" s="34" customFormat="1" x14ac:dyDescent="0.3">
      <c r="A236" s="62" t="s">
        <v>210</v>
      </c>
      <c r="B236" s="59">
        <f>4.75*C236</f>
        <v>9.5</v>
      </c>
      <c r="C236" s="59">
        <f>SUM(D238:D239)</f>
        <v>2</v>
      </c>
      <c r="D236" s="42"/>
      <c r="E236" s="63">
        <f>SUM(E238)+E239</f>
        <v>35982</v>
      </c>
      <c r="F236" s="61">
        <v>2083</v>
      </c>
      <c r="G236" s="51">
        <f>C236*F236*3.17*12</f>
        <v>158474.63999999998</v>
      </c>
      <c r="H236" s="51">
        <f>C236*F236*1.58*1.75*12</f>
        <v>138227.88</v>
      </c>
      <c r="I236" s="51">
        <f>C236*F236*0.19*12</f>
        <v>9498.48</v>
      </c>
      <c r="J236" s="51">
        <f>G236+H236+I236</f>
        <v>306201</v>
      </c>
      <c r="K236" s="60">
        <f>J236*$K$9</f>
        <v>72232.815900000001</v>
      </c>
      <c r="L236" s="51"/>
      <c r="M236" s="51"/>
      <c r="N236" s="51"/>
      <c r="O236" s="51"/>
      <c r="P236" s="51"/>
      <c r="Q236" s="51"/>
      <c r="R236" s="76"/>
      <c r="T236" s="67"/>
      <c r="U236" s="67"/>
      <c r="V236" s="67"/>
      <c r="W236" s="67"/>
    </row>
    <row r="237" spans="1:23" s="34" customFormat="1" x14ac:dyDescent="0.3">
      <c r="A237" s="62" t="s">
        <v>72</v>
      </c>
      <c r="B237" s="59">
        <f>4.75*C237</f>
        <v>9.5</v>
      </c>
      <c r="C237" s="59">
        <f>C236</f>
        <v>2</v>
      </c>
      <c r="D237" s="42"/>
      <c r="E237" s="42"/>
      <c r="F237" s="61">
        <v>1303</v>
      </c>
      <c r="G237" s="51">
        <f>C237*F237*3.17*12</f>
        <v>99132.24</v>
      </c>
      <c r="H237" s="51">
        <f>C237*F237*1.58*1.75*12</f>
        <v>86467.080000000016</v>
      </c>
      <c r="I237" s="51">
        <f>C237*F237*0.19*12</f>
        <v>5941.68</v>
      </c>
      <c r="J237" s="51">
        <f>G237+H237+I237</f>
        <v>191541</v>
      </c>
      <c r="K237" s="60">
        <f>J237*$K$9</f>
        <v>45184.5219</v>
      </c>
      <c r="L237" s="51"/>
      <c r="M237" s="51"/>
      <c r="N237" s="51"/>
      <c r="O237" s="51"/>
      <c r="P237" s="51"/>
      <c r="Q237" s="51"/>
      <c r="R237" s="76"/>
      <c r="T237" s="67"/>
      <c r="U237" s="67"/>
      <c r="V237" s="67"/>
      <c r="W237" s="67"/>
    </row>
    <row r="238" spans="1:23" s="34" customFormat="1" ht="42" x14ac:dyDescent="0.3">
      <c r="A238" s="58" t="s">
        <v>231</v>
      </c>
      <c r="B238" s="57"/>
      <c r="C238" s="55"/>
      <c r="D238" s="54">
        <v>1</v>
      </c>
      <c r="E238" s="42">
        <f>D238*$F$5</f>
        <v>17991</v>
      </c>
      <c r="F238" s="53"/>
      <c r="G238" s="60"/>
      <c r="H238" s="60"/>
      <c r="I238" s="60"/>
      <c r="J238" s="60"/>
      <c r="K238" s="60"/>
      <c r="L238" s="50">
        <f>$D238*$B$5</f>
        <v>7854</v>
      </c>
      <c r="M238" s="50"/>
      <c r="N238" s="50">
        <f>$D238*$C$5</f>
        <v>7822</v>
      </c>
      <c r="O238" s="50">
        <f>$D238*$D$5</f>
        <v>874</v>
      </c>
      <c r="P238" s="50">
        <f>$D238*$E$5</f>
        <v>1441</v>
      </c>
      <c r="Q238" s="50"/>
      <c r="R238" s="76"/>
      <c r="T238" s="67"/>
      <c r="U238" s="67"/>
      <c r="V238" s="67"/>
      <c r="W238" s="67"/>
    </row>
    <row r="239" spans="1:23" s="34" customFormat="1" x14ac:dyDescent="0.3">
      <c r="A239" s="53" t="s">
        <v>230</v>
      </c>
      <c r="B239" s="57"/>
      <c r="C239" s="55"/>
      <c r="D239" s="54">
        <v>1</v>
      </c>
      <c r="E239" s="42">
        <f>D239*$F$5</f>
        <v>17991</v>
      </c>
      <c r="F239" s="53"/>
      <c r="G239" s="60"/>
      <c r="H239" s="60"/>
      <c r="I239" s="60"/>
      <c r="J239" s="60"/>
      <c r="K239" s="60"/>
      <c r="L239" s="50">
        <f>$D239*$B$5</f>
        <v>7854</v>
      </c>
      <c r="M239" s="31"/>
      <c r="N239" s="50">
        <f>$D239*$C$5</f>
        <v>7822</v>
      </c>
      <c r="O239" s="50">
        <f>$D239*$D$5</f>
        <v>874</v>
      </c>
      <c r="P239" s="50">
        <f>$D239*$E$5</f>
        <v>1441</v>
      </c>
      <c r="Q239" s="50"/>
      <c r="R239" s="76"/>
      <c r="T239" s="67"/>
      <c r="U239" s="67"/>
      <c r="V239" s="67"/>
      <c r="W239" s="67"/>
    </row>
    <row r="240" spans="1:23" s="34" customFormat="1" x14ac:dyDescent="0.3">
      <c r="A240" s="62" t="s">
        <v>233</v>
      </c>
      <c r="B240" s="55"/>
      <c r="C240" s="55"/>
      <c r="D240" s="42"/>
      <c r="E240" s="42"/>
      <c r="F240" s="53"/>
      <c r="G240" s="51"/>
      <c r="H240" s="51"/>
      <c r="I240" s="51"/>
      <c r="J240" s="66">
        <f>ROUND(SUM(J241:J242),0)</f>
        <v>497742</v>
      </c>
      <c r="K240" s="66">
        <f>ROUND(SUM(K241:K242),0)</f>
        <v>117417</v>
      </c>
      <c r="L240" s="66">
        <f>ROUND(SUM(L241:L244),0)</f>
        <v>15708</v>
      </c>
      <c r="M240" s="56">
        <v>1573</v>
      </c>
      <c r="N240" s="66">
        <f>ROUND(SUM(N241:N244),0)</f>
        <v>15644</v>
      </c>
      <c r="O240" s="66">
        <f>ROUND(SUM(O241:O244),0)</f>
        <v>1748</v>
      </c>
      <c r="P240" s="66">
        <f>ROUND(SUM(P241:P244),0)</f>
        <v>2882</v>
      </c>
      <c r="Q240" s="31"/>
      <c r="R240" s="81">
        <f>SUM(J240:P240)</f>
        <v>652714</v>
      </c>
      <c r="T240" s="64">
        <v>571557</v>
      </c>
      <c r="U240" s="64">
        <v>20338</v>
      </c>
      <c r="V240" s="64">
        <v>16907</v>
      </c>
      <c r="W240" s="64">
        <v>608802</v>
      </c>
    </row>
    <row r="241" spans="1:23" s="34" customFormat="1" x14ac:dyDescent="0.3">
      <c r="A241" s="62" t="s">
        <v>210</v>
      </c>
      <c r="B241" s="59">
        <f>4.75*C241</f>
        <v>9.5</v>
      </c>
      <c r="C241" s="59">
        <f>SUM(D243:D244)</f>
        <v>2</v>
      </c>
      <c r="D241" s="42"/>
      <c r="E241" s="63">
        <f>SUM(E243)+E244</f>
        <v>35982</v>
      </c>
      <c r="F241" s="61">
        <v>2083</v>
      </c>
      <c r="G241" s="51">
        <f>C241*F241*3.17*12</f>
        <v>158474.63999999998</v>
      </c>
      <c r="H241" s="51">
        <f>C241*F241*1.58*1.75*12</f>
        <v>138227.88</v>
      </c>
      <c r="I241" s="51">
        <f>C241*F241*0.19*12</f>
        <v>9498.48</v>
      </c>
      <c r="J241" s="51">
        <f>G241+H241+I241</f>
        <v>306201</v>
      </c>
      <c r="K241" s="60">
        <f>J241*$K$9</f>
        <v>72232.815900000001</v>
      </c>
      <c r="L241" s="51"/>
      <c r="M241" s="51"/>
      <c r="N241" s="51"/>
      <c r="O241" s="51"/>
      <c r="P241" s="51"/>
      <c r="Q241" s="52"/>
      <c r="R241" s="76"/>
      <c r="T241" s="67"/>
      <c r="U241" s="67"/>
      <c r="V241" s="67"/>
      <c r="W241" s="67"/>
    </row>
    <row r="242" spans="1:23" s="34" customFormat="1" x14ac:dyDescent="0.3">
      <c r="A242" s="62" t="s">
        <v>72</v>
      </c>
      <c r="B242" s="59">
        <f>4.75*C242</f>
        <v>9.5</v>
      </c>
      <c r="C242" s="59">
        <f>C241</f>
        <v>2</v>
      </c>
      <c r="D242" s="42"/>
      <c r="E242" s="42"/>
      <c r="F242" s="61">
        <v>1303</v>
      </c>
      <c r="G242" s="51">
        <f>C242*F242*3.17*12</f>
        <v>99132.24</v>
      </c>
      <c r="H242" s="51">
        <f>C242*F242*1.58*1.75*12</f>
        <v>86467.080000000016</v>
      </c>
      <c r="I242" s="51">
        <f>C242*F242*0.19*12</f>
        <v>5941.68</v>
      </c>
      <c r="J242" s="51">
        <f>G242+H242+I242</f>
        <v>191541</v>
      </c>
      <c r="K242" s="60">
        <f>J242*$K$9</f>
        <v>45184.5219</v>
      </c>
      <c r="L242" s="51"/>
      <c r="M242" s="51"/>
      <c r="N242" s="51"/>
      <c r="O242" s="51"/>
      <c r="P242" s="51"/>
      <c r="Q242" s="52"/>
      <c r="R242" s="76"/>
      <c r="T242" s="67"/>
      <c r="U242" s="67"/>
      <c r="V242" s="67"/>
      <c r="W242" s="67"/>
    </row>
    <row r="243" spans="1:23" s="34" customFormat="1" ht="42" x14ac:dyDescent="0.3">
      <c r="A243" s="58" t="s">
        <v>231</v>
      </c>
      <c r="B243" s="57"/>
      <c r="C243" s="55"/>
      <c r="D243" s="54">
        <v>1</v>
      </c>
      <c r="E243" s="42">
        <f>D243*$F$5</f>
        <v>17991</v>
      </c>
      <c r="F243" s="53"/>
      <c r="G243" s="60"/>
      <c r="H243" s="60"/>
      <c r="I243" s="60"/>
      <c r="J243" s="60"/>
      <c r="K243" s="60"/>
      <c r="L243" s="50">
        <f>$D243*$B$5</f>
        <v>7854</v>
      </c>
      <c r="M243" s="50"/>
      <c r="N243" s="50">
        <f>$D243*$C$5</f>
        <v>7822</v>
      </c>
      <c r="O243" s="50">
        <f>$D243*$D$5</f>
        <v>874</v>
      </c>
      <c r="P243" s="50">
        <f>$D243*$E$5</f>
        <v>1441</v>
      </c>
      <c r="Q243" s="50"/>
      <c r="R243" s="76"/>
      <c r="T243" s="67"/>
      <c r="U243" s="64"/>
      <c r="V243" s="67"/>
      <c r="W243" s="67"/>
    </row>
    <row r="244" spans="1:23" s="34" customFormat="1" x14ac:dyDescent="0.3">
      <c r="A244" s="53" t="s">
        <v>230</v>
      </c>
      <c r="B244" s="57"/>
      <c r="C244" s="55"/>
      <c r="D244" s="54">
        <v>1</v>
      </c>
      <c r="E244" s="42">
        <f>D244*$F$5</f>
        <v>17991</v>
      </c>
      <c r="F244" s="53"/>
      <c r="G244" s="60"/>
      <c r="H244" s="60"/>
      <c r="I244" s="60"/>
      <c r="J244" s="60"/>
      <c r="K244" s="60"/>
      <c r="L244" s="50">
        <f>$D244*$B$5</f>
        <v>7854</v>
      </c>
      <c r="M244" s="50"/>
      <c r="N244" s="50">
        <f>$D244*$C$5</f>
        <v>7822</v>
      </c>
      <c r="O244" s="50">
        <f>$D244*$D$5</f>
        <v>874</v>
      </c>
      <c r="P244" s="50">
        <f>$D244*$E$5</f>
        <v>1441</v>
      </c>
      <c r="Q244" s="50"/>
      <c r="R244" s="76"/>
      <c r="T244" s="67"/>
      <c r="U244" s="67"/>
      <c r="V244" s="67"/>
      <c r="W244" s="67"/>
    </row>
    <row r="245" spans="1:23" s="34" customFormat="1" x14ac:dyDescent="0.3">
      <c r="A245" s="62" t="s">
        <v>232</v>
      </c>
      <c r="B245" s="55"/>
      <c r="C245" s="55"/>
      <c r="D245" s="42"/>
      <c r="E245" s="42"/>
      <c r="F245" s="53"/>
      <c r="G245" s="51"/>
      <c r="H245" s="51"/>
      <c r="I245" s="51"/>
      <c r="J245" s="66">
        <f>ROUND(SUM(J246:J247),0)</f>
        <v>497742</v>
      </c>
      <c r="K245" s="66">
        <f>ROUND(SUM(K246:K247),0)</f>
        <v>117417</v>
      </c>
      <c r="L245" s="66">
        <f>ROUND(SUM(L246:L249),0)</f>
        <v>15708</v>
      </c>
      <c r="M245" s="56">
        <v>764</v>
      </c>
      <c r="N245" s="66">
        <f>ROUND(SUM(N246:N249),0)</f>
        <v>15644</v>
      </c>
      <c r="O245" s="66">
        <f>ROUND(SUM(O246:O249),0)</f>
        <v>1748</v>
      </c>
      <c r="P245" s="66">
        <f>ROUND(SUM(P246:P249),0)</f>
        <v>2882</v>
      </c>
      <c r="Q245" s="31"/>
      <c r="R245" s="81">
        <f>SUM(J245:P245)</f>
        <v>651905</v>
      </c>
      <c r="T245" s="64">
        <v>571557</v>
      </c>
      <c r="U245" s="64">
        <v>20338</v>
      </c>
      <c r="V245" s="64">
        <v>16098</v>
      </c>
      <c r="W245" s="64">
        <v>607993</v>
      </c>
    </row>
    <row r="246" spans="1:23" s="34" customFormat="1" x14ac:dyDescent="0.3">
      <c r="A246" s="62" t="s">
        <v>210</v>
      </c>
      <c r="B246" s="59">
        <f>4.75*C246</f>
        <v>9.5</v>
      </c>
      <c r="C246" s="59">
        <f>SUM(D248:D249)</f>
        <v>2</v>
      </c>
      <c r="D246" s="42"/>
      <c r="E246" s="63">
        <f>SUM(E248)+E249</f>
        <v>35982</v>
      </c>
      <c r="F246" s="61">
        <v>2083</v>
      </c>
      <c r="G246" s="51">
        <f>C246*F246*3.17*12</f>
        <v>158474.63999999998</v>
      </c>
      <c r="H246" s="51">
        <f>C246*F246*1.58*1.75*12</f>
        <v>138227.88</v>
      </c>
      <c r="I246" s="51">
        <f>C246*F246*0.19*12</f>
        <v>9498.48</v>
      </c>
      <c r="J246" s="51">
        <f>G246+H246+I246</f>
        <v>306201</v>
      </c>
      <c r="K246" s="60">
        <f>J246*$K$9</f>
        <v>72232.815900000001</v>
      </c>
      <c r="L246" s="51"/>
      <c r="M246" s="80"/>
      <c r="N246" s="51"/>
      <c r="O246" s="51"/>
      <c r="P246" s="51"/>
      <c r="Q246" s="52"/>
      <c r="R246" s="76"/>
      <c r="T246" s="67"/>
      <c r="U246" s="67"/>
      <c r="V246" s="67"/>
      <c r="W246" s="67"/>
    </row>
    <row r="247" spans="1:23" s="34" customFormat="1" x14ac:dyDescent="0.3">
      <c r="A247" s="62" t="s">
        <v>72</v>
      </c>
      <c r="B247" s="59">
        <f>4.75*C247</f>
        <v>9.5</v>
      </c>
      <c r="C247" s="59">
        <f>C246</f>
        <v>2</v>
      </c>
      <c r="D247" s="42"/>
      <c r="E247" s="42"/>
      <c r="F247" s="61">
        <v>1303</v>
      </c>
      <c r="G247" s="51">
        <f>C247*F247*3.17*12</f>
        <v>99132.24</v>
      </c>
      <c r="H247" s="51">
        <f>C247*F247*1.58*1.75*12</f>
        <v>86467.080000000016</v>
      </c>
      <c r="I247" s="51">
        <f>C247*F247*0.19*12</f>
        <v>5941.68</v>
      </c>
      <c r="J247" s="51">
        <f>G247+H247+I247</f>
        <v>191541</v>
      </c>
      <c r="K247" s="60">
        <f>J247*$K$9</f>
        <v>45184.5219</v>
      </c>
      <c r="L247" s="51"/>
      <c r="M247" s="80"/>
      <c r="N247" s="51"/>
      <c r="O247" s="51"/>
      <c r="P247" s="51"/>
      <c r="Q247" s="52"/>
      <c r="R247" s="76"/>
      <c r="T247" s="67"/>
      <c r="U247" s="67"/>
      <c r="V247" s="67"/>
      <c r="W247" s="67"/>
    </row>
    <row r="248" spans="1:23" s="34" customFormat="1" ht="42" x14ac:dyDescent="0.3">
      <c r="A248" s="58" t="s">
        <v>231</v>
      </c>
      <c r="B248" s="57"/>
      <c r="C248" s="55"/>
      <c r="D248" s="54">
        <v>1</v>
      </c>
      <c r="E248" s="42">
        <f>D248*$F$5</f>
        <v>17991</v>
      </c>
      <c r="F248" s="53"/>
      <c r="G248" s="60"/>
      <c r="H248" s="60"/>
      <c r="I248" s="60"/>
      <c r="J248" s="60"/>
      <c r="K248" s="60"/>
      <c r="L248" s="50">
        <f>$D248*$B$5</f>
        <v>7854</v>
      </c>
      <c r="M248" s="56"/>
      <c r="N248" s="50">
        <f>$D248*$C$5</f>
        <v>7822</v>
      </c>
      <c r="O248" s="50">
        <f>$D248*$D$5</f>
        <v>874</v>
      </c>
      <c r="P248" s="50">
        <f>$D248*$E$5</f>
        <v>1441</v>
      </c>
      <c r="Q248" s="50"/>
      <c r="R248" s="76"/>
      <c r="T248" s="67"/>
      <c r="U248" s="67"/>
      <c r="V248" s="67"/>
      <c r="W248" s="67"/>
    </row>
    <row r="249" spans="1:23" s="34" customFormat="1" x14ac:dyDescent="0.3">
      <c r="A249" s="53" t="s">
        <v>230</v>
      </c>
      <c r="B249" s="57"/>
      <c r="C249" s="55"/>
      <c r="D249" s="54">
        <v>1</v>
      </c>
      <c r="E249" s="42">
        <f>D249*$F$5</f>
        <v>17991</v>
      </c>
      <c r="F249" s="53"/>
      <c r="G249" s="60"/>
      <c r="H249" s="60"/>
      <c r="I249" s="60"/>
      <c r="J249" s="60"/>
      <c r="K249" s="60"/>
      <c r="L249" s="50">
        <f>$D249*$B$5</f>
        <v>7854</v>
      </c>
      <c r="M249" s="43"/>
      <c r="N249" s="50">
        <f>$D249*$C$5</f>
        <v>7822</v>
      </c>
      <c r="O249" s="50">
        <f>$D249*$D$5</f>
        <v>874</v>
      </c>
      <c r="P249" s="50">
        <f>$D249*$E$5</f>
        <v>1441</v>
      </c>
      <c r="Q249" s="50"/>
      <c r="R249" s="76"/>
      <c r="T249" s="67"/>
      <c r="U249" s="67"/>
      <c r="V249" s="67"/>
      <c r="W249" s="67"/>
    </row>
    <row r="250" spans="1:23" s="34" customFormat="1" x14ac:dyDescent="0.3">
      <c r="A250" s="62" t="s">
        <v>229</v>
      </c>
      <c r="B250" s="69"/>
      <c r="C250" s="69"/>
      <c r="D250" s="42"/>
      <c r="E250" s="42"/>
      <c r="F250" s="53"/>
      <c r="G250" s="60"/>
      <c r="H250" s="60"/>
      <c r="I250" s="60"/>
      <c r="J250" s="71">
        <f>ROUND(SUM(J251:J255),0)</f>
        <v>995484</v>
      </c>
      <c r="K250" s="71">
        <f>ROUND(SUM(K251:K255),0)</f>
        <v>234835</v>
      </c>
      <c r="L250" s="71">
        <f>ROUND(SUM(L251:L255),0)</f>
        <v>24827</v>
      </c>
      <c r="M250" s="56">
        <v>6387</v>
      </c>
      <c r="N250" s="71">
        <f>ROUND(SUM(N251:N255),0)</f>
        <v>31288</v>
      </c>
      <c r="O250" s="71">
        <f>ROUND(SUM(O251:O255),0)</f>
        <v>3496</v>
      </c>
      <c r="P250" s="71">
        <f>ROUND(SUM(P251:P255),0)</f>
        <v>5764</v>
      </c>
      <c r="Q250" s="73"/>
      <c r="R250" s="72">
        <f>SUM(J250:P250)</f>
        <v>1302081</v>
      </c>
      <c r="T250" s="64">
        <v>1143114</v>
      </c>
      <c r="U250" s="64">
        <v>34087</v>
      </c>
      <c r="V250" s="64">
        <v>37055</v>
      </c>
      <c r="W250" s="64">
        <v>1214256</v>
      </c>
    </row>
    <row r="251" spans="1:23" s="34" customFormat="1" x14ac:dyDescent="0.3">
      <c r="A251" s="62" t="s">
        <v>210</v>
      </c>
      <c r="B251" s="63">
        <f>4.75*C251</f>
        <v>19</v>
      </c>
      <c r="C251" s="63">
        <f>SUM(D253:D255)</f>
        <v>4</v>
      </c>
      <c r="D251" s="42"/>
      <c r="E251" s="63">
        <f>SUM(E253:E255)</f>
        <v>65375</v>
      </c>
      <c r="F251" s="61">
        <v>2083</v>
      </c>
      <c r="G251" s="60">
        <f>C251*F251*3.17*12</f>
        <v>316949.27999999997</v>
      </c>
      <c r="H251" s="60">
        <f>C251*F251*1.58*1.75*12</f>
        <v>276455.76</v>
      </c>
      <c r="I251" s="60">
        <f>C251*F251*0.19*12</f>
        <v>18996.96</v>
      </c>
      <c r="J251" s="60">
        <f>G251+H251+I251</f>
        <v>612402</v>
      </c>
      <c r="K251" s="60">
        <f>J251*$K$9</f>
        <v>144465.6318</v>
      </c>
      <c r="L251" s="60"/>
      <c r="M251" s="70"/>
      <c r="N251" s="60"/>
      <c r="O251" s="60"/>
      <c r="P251" s="60"/>
      <c r="Q251" s="60"/>
      <c r="R251" s="68"/>
      <c r="T251" s="67"/>
      <c r="U251" s="67"/>
      <c r="V251" s="67"/>
      <c r="W251" s="67"/>
    </row>
    <row r="252" spans="1:23" s="34" customFormat="1" x14ac:dyDescent="0.3">
      <c r="A252" s="62" t="s">
        <v>72</v>
      </c>
      <c r="B252" s="63">
        <f>4.75*C252</f>
        <v>19</v>
      </c>
      <c r="C252" s="63">
        <f>C251</f>
        <v>4</v>
      </c>
      <c r="D252" s="42"/>
      <c r="E252" s="42"/>
      <c r="F252" s="61">
        <v>1303</v>
      </c>
      <c r="G252" s="60">
        <f>C252*F252*3.17*12</f>
        <v>198264.48</v>
      </c>
      <c r="H252" s="60">
        <f>C252*F252*1.58*1.75*12</f>
        <v>172934.16000000003</v>
      </c>
      <c r="I252" s="60">
        <f>C252*F252*0.19*12</f>
        <v>11883.36</v>
      </c>
      <c r="J252" s="60">
        <f>G252+H252+I252</f>
        <v>383082</v>
      </c>
      <c r="K252" s="60">
        <f>J252*$K$9</f>
        <v>90369.043799999999</v>
      </c>
      <c r="L252" s="60"/>
      <c r="M252" s="70"/>
      <c r="N252" s="60"/>
      <c r="O252" s="60"/>
      <c r="P252" s="60"/>
      <c r="Q252" s="60"/>
      <c r="R252" s="68"/>
      <c r="T252" s="67"/>
      <c r="U252" s="67"/>
      <c r="V252" s="67"/>
      <c r="W252" s="67"/>
    </row>
    <row r="253" spans="1:23" s="34" customFormat="1" x14ac:dyDescent="0.3">
      <c r="A253" s="53" t="s">
        <v>222</v>
      </c>
      <c r="B253" s="77"/>
      <c r="C253" s="77"/>
      <c r="D253" s="42">
        <v>2</v>
      </c>
      <c r="E253" s="42">
        <f>D253*$F$5</f>
        <v>35982</v>
      </c>
      <c r="F253" s="53"/>
      <c r="G253" s="60"/>
      <c r="H253" s="60"/>
      <c r="I253" s="60"/>
      <c r="J253" s="60"/>
      <c r="K253" s="60"/>
      <c r="L253" s="50">
        <f>$D253*$B$5</f>
        <v>15708</v>
      </c>
      <c r="M253" s="56"/>
      <c r="N253" s="50">
        <f>$D253*$C$5</f>
        <v>15644</v>
      </c>
      <c r="O253" s="50">
        <f>$D253*$D$5</f>
        <v>1748</v>
      </c>
      <c r="P253" s="50">
        <f>$D253*$E$5</f>
        <v>2882</v>
      </c>
      <c r="Q253" s="50"/>
      <c r="R253" s="68"/>
      <c r="T253" s="67"/>
      <c r="U253" s="67"/>
      <c r="V253" s="67"/>
      <c r="W253" s="67"/>
    </row>
    <row r="254" spans="1:23" s="34" customFormat="1" x14ac:dyDescent="0.3">
      <c r="A254" s="53" t="s">
        <v>214</v>
      </c>
      <c r="B254" s="69"/>
      <c r="C254" s="69"/>
      <c r="D254" s="42">
        <v>1</v>
      </c>
      <c r="E254" s="42">
        <f>D254*$F$5</f>
        <v>17991</v>
      </c>
      <c r="F254" s="53"/>
      <c r="G254" s="60"/>
      <c r="H254" s="60"/>
      <c r="I254" s="60"/>
      <c r="J254" s="60"/>
      <c r="K254" s="60"/>
      <c r="L254" s="50">
        <f>$D254*$B$5</f>
        <v>7854</v>
      </c>
      <c r="M254" s="56"/>
      <c r="N254" s="50">
        <f>$D254*$C$5</f>
        <v>7822</v>
      </c>
      <c r="O254" s="50">
        <f>$D254*$D$5</f>
        <v>874</v>
      </c>
      <c r="P254" s="50">
        <f>$D254*$E$5</f>
        <v>1441</v>
      </c>
      <c r="Q254" s="50"/>
      <c r="R254" s="68"/>
      <c r="T254" s="67"/>
      <c r="U254" s="67"/>
      <c r="V254" s="67"/>
      <c r="W254" s="67"/>
    </row>
    <row r="255" spans="1:23" s="34" customFormat="1" x14ac:dyDescent="0.3">
      <c r="A255" s="53" t="s">
        <v>221</v>
      </c>
      <c r="B255" s="69"/>
      <c r="C255" s="69"/>
      <c r="D255" s="42">
        <v>1</v>
      </c>
      <c r="E255" s="42">
        <f>D255*$F$6</f>
        <v>11402</v>
      </c>
      <c r="F255" s="53"/>
      <c r="G255" s="60"/>
      <c r="H255" s="60"/>
      <c r="I255" s="60"/>
      <c r="J255" s="60"/>
      <c r="K255" s="60"/>
      <c r="L255" s="50">
        <f>$D255*$B$6</f>
        <v>1265</v>
      </c>
      <c r="M255" s="43"/>
      <c r="N255" s="50">
        <f>$D255*$C$6</f>
        <v>7822</v>
      </c>
      <c r="O255" s="50">
        <f>$D255*$D$6</f>
        <v>874</v>
      </c>
      <c r="P255" s="50">
        <f>$D255*$E$6</f>
        <v>1441</v>
      </c>
      <c r="Q255" s="50"/>
      <c r="R255" s="68"/>
      <c r="T255" s="67"/>
      <c r="U255" s="67"/>
      <c r="V255" s="67"/>
      <c r="W255" s="67"/>
    </row>
    <row r="256" spans="1:23" s="34" customFormat="1" x14ac:dyDescent="0.3">
      <c r="A256" s="62" t="s">
        <v>228</v>
      </c>
      <c r="B256" s="69"/>
      <c r="C256" s="69"/>
      <c r="D256" s="42"/>
      <c r="E256" s="42"/>
      <c r="F256" s="53"/>
      <c r="G256" s="60"/>
      <c r="H256" s="60"/>
      <c r="I256" s="60"/>
      <c r="J256" s="71">
        <f>ROUND(SUM(J257:J261),0)</f>
        <v>2986452</v>
      </c>
      <c r="K256" s="71">
        <f>ROUND(SUM(K257:K261),0)</f>
        <v>704504</v>
      </c>
      <c r="L256" s="71">
        <f>ROUND(SUM(L257:L261),0)</f>
        <v>21769</v>
      </c>
      <c r="M256" s="56">
        <v>580</v>
      </c>
      <c r="N256" s="71">
        <f>ROUND(SUM(N257:N261),0)</f>
        <v>93864</v>
      </c>
      <c r="O256" s="71">
        <f>ROUND(SUM(O257:O261),0)</f>
        <v>10488</v>
      </c>
      <c r="P256" s="71">
        <f>ROUND(SUM(P257:P261),0)</f>
        <v>17292</v>
      </c>
      <c r="Q256" s="71"/>
      <c r="R256" s="65">
        <f>SUM(J256:P256)</f>
        <v>3834949</v>
      </c>
      <c r="T256" s="64">
        <v>3429341</v>
      </c>
      <c r="U256" s="64">
        <v>49549</v>
      </c>
      <c r="V256" s="64">
        <v>92584</v>
      </c>
      <c r="W256" s="64">
        <v>3571474</v>
      </c>
    </row>
    <row r="257" spans="1:23" s="34" customFormat="1" x14ac:dyDescent="0.3">
      <c r="A257" s="62" t="s">
        <v>210</v>
      </c>
      <c r="B257" s="63">
        <f>4.75*C257</f>
        <v>57</v>
      </c>
      <c r="C257" s="63">
        <f>SUM(D259:D261)</f>
        <v>12</v>
      </c>
      <c r="D257" s="42"/>
      <c r="E257" s="63">
        <f>SUM(E259:E261)</f>
        <v>143413</v>
      </c>
      <c r="F257" s="61">
        <v>2083</v>
      </c>
      <c r="G257" s="60">
        <f>C257*F257*3.17*12</f>
        <v>950847.83999999985</v>
      </c>
      <c r="H257" s="60">
        <f>C257*F257*1.58*1.75*12</f>
        <v>829367.28</v>
      </c>
      <c r="I257" s="60">
        <f>C257*F257*0.19*12</f>
        <v>56990.879999999997</v>
      </c>
      <c r="J257" s="60">
        <f>G257+H257+I257</f>
        <v>1837205.9999999998</v>
      </c>
      <c r="K257" s="60">
        <f>J257*$K$9</f>
        <v>433396.89539999992</v>
      </c>
      <c r="L257" s="60"/>
      <c r="M257" s="70"/>
      <c r="N257" s="60"/>
      <c r="O257" s="60"/>
      <c r="P257" s="60"/>
      <c r="Q257" s="60"/>
      <c r="R257" s="68"/>
      <c r="T257" s="67"/>
      <c r="U257" s="67"/>
      <c r="V257" s="67"/>
      <c r="W257" s="67"/>
    </row>
    <row r="258" spans="1:23" s="34" customFormat="1" x14ac:dyDescent="0.3">
      <c r="A258" s="62" t="s">
        <v>72</v>
      </c>
      <c r="B258" s="63">
        <f>4.75*C258</f>
        <v>57</v>
      </c>
      <c r="C258" s="63">
        <f>C257</f>
        <v>12</v>
      </c>
      <c r="D258" s="42"/>
      <c r="E258" s="42"/>
      <c r="F258" s="61">
        <v>1303</v>
      </c>
      <c r="G258" s="60">
        <f>C258*F258*3.17*12</f>
        <v>594793.43999999994</v>
      </c>
      <c r="H258" s="60">
        <f>C258*F258*1.58*1.75*12</f>
        <v>518802.48</v>
      </c>
      <c r="I258" s="60">
        <f>C258*F258*0.19*12</f>
        <v>35650.080000000002</v>
      </c>
      <c r="J258" s="60">
        <f>G258+H258+I258</f>
        <v>1149246</v>
      </c>
      <c r="K258" s="60">
        <f>J258*$K$9</f>
        <v>271107.13140000001</v>
      </c>
      <c r="L258" s="60"/>
      <c r="M258" s="70"/>
      <c r="N258" s="60"/>
      <c r="O258" s="60"/>
      <c r="P258" s="60"/>
      <c r="Q258" s="60"/>
      <c r="R258" s="68"/>
      <c r="T258" s="67"/>
      <c r="U258" s="67"/>
      <c r="V258" s="67"/>
      <c r="W258" s="67"/>
    </row>
    <row r="259" spans="1:23" s="34" customFormat="1" x14ac:dyDescent="0.3">
      <c r="A259" s="53" t="s">
        <v>214</v>
      </c>
      <c r="B259" s="69"/>
      <c r="C259" s="69"/>
      <c r="D259" s="42">
        <v>1</v>
      </c>
      <c r="E259" s="42">
        <f>D259*$F$5</f>
        <v>17991</v>
      </c>
      <c r="F259" s="53"/>
      <c r="G259" s="60"/>
      <c r="H259" s="60"/>
      <c r="I259" s="60"/>
      <c r="J259" s="60"/>
      <c r="K259" s="60"/>
      <c r="L259" s="50">
        <f>$D259*$B$5</f>
        <v>7854</v>
      </c>
      <c r="M259" s="56"/>
      <c r="N259" s="50">
        <f>$D259*$C$5</f>
        <v>7822</v>
      </c>
      <c r="O259" s="50">
        <f>$D259*$D$5</f>
        <v>874</v>
      </c>
      <c r="P259" s="50">
        <f>$D259*$E$5</f>
        <v>1441</v>
      </c>
      <c r="Q259" s="50"/>
      <c r="R259" s="68"/>
      <c r="T259" s="67"/>
      <c r="U259" s="67"/>
      <c r="V259" s="67"/>
      <c r="W259" s="67"/>
    </row>
    <row r="260" spans="1:23" s="34" customFormat="1" x14ac:dyDescent="0.3">
      <c r="A260" s="53" t="s">
        <v>211</v>
      </c>
      <c r="B260" s="79"/>
      <c r="C260" s="69"/>
      <c r="D260" s="42">
        <v>4</v>
      </c>
      <c r="E260" s="42">
        <f>D260*$F$6</f>
        <v>45608</v>
      </c>
      <c r="F260" s="53"/>
      <c r="G260" s="60"/>
      <c r="H260" s="60"/>
      <c r="I260" s="60"/>
      <c r="J260" s="60"/>
      <c r="K260" s="60"/>
      <c r="L260" s="50">
        <f>$D260*$B$6</f>
        <v>5060</v>
      </c>
      <c r="M260" s="56"/>
      <c r="N260" s="50">
        <f>$D260*$C$6</f>
        <v>31288</v>
      </c>
      <c r="O260" s="50">
        <f>$D260*$D$6</f>
        <v>3496</v>
      </c>
      <c r="P260" s="50">
        <f>$D260*$E$6</f>
        <v>5764</v>
      </c>
      <c r="Q260" s="50"/>
      <c r="R260" s="68"/>
      <c r="T260" s="67"/>
      <c r="U260" s="67"/>
      <c r="V260" s="67"/>
      <c r="W260" s="67"/>
    </row>
    <row r="261" spans="1:23" s="34" customFormat="1" x14ac:dyDescent="0.3">
      <c r="A261" s="58" t="s">
        <v>212</v>
      </c>
      <c r="B261" s="69"/>
      <c r="C261" s="69"/>
      <c r="D261" s="42">
        <v>7</v>
      </c>
      <c r="E261" s="42">
        <f>D261*$F$6</f>
        <v>79814</v>
      </c>
      <c r="F261" s="53"/>
      <c r="G261" s="60"/>
      <c r="H261" s="60"/>
      <c r="I261" s="60"/>
      <c r="J261" s="60"/>
      <c r="K261" s="60"/>
      <c r="L261" s="50">
        <f>$D261*$B$6</f>
        <v>8855</v>
      </c>
      <c r="M261" s="43"/>
      <c r="N261" s="50">
        <f>$D261*$C$6</f>
        <v>54754</v>
      </c>
      <c r="O261" s="50">
        <f>$D261*$D$6</f>
        <v>6118</v>
      </c>
      <c r="P261" s="50">
        <f>$D261*$E$6</f>
        <v>10087</v>
      </c>
      <c r="Q261" s="50"/>
      <c r="R261" s="68"/>
      <c r="T261" s="67"/>
      <c r="U261" s="67"/>
      <c r="V261" s="67"/>
      <c r="W261" s="67"/>
    </row>
    <row r="262" spans="1:23" s="34" customFormat="1" x14ac:dyDescent="0.3">
      <c r="A262" s="62" t="s">
        <v>227</v>
      </c>
      <c r="B262" s="69"/>
      <c r="C262" s="69"/>
      <c r="D262" s="42"/>
      <c r="E262" s="42"/>
      <c r="F262" s="53"/>
      <c r="G262" s="60"/>
      <c r="H262" s="60"/>
      <c r="I262" s="60"/>
      <c r="J262" s="71">
        <f>ROUND(SUM(J263:J265),0)</f>
        <v>248871</v>
      </c>
      <c r="K262" s="71">
        <f>ROUND(SUM(K263:K265),0)</f>
        <v>58709</v>
      </c>
      <c r="L262" s="71">
        <f>ROUND(SUM(L263:L265),0)</f>
        <v>7854</v>
      </c>
      <c r="M262" s="56">
        <v>122</v>
      </c>
      <c r="N262" s="71">
        <f>ROUND(SUM(N263:N265),0)</f>
        <v>7822</v>
      </c>
      <c r="O262" s="71">
        <f>ROUND(SUM(O263:O265),0)</f>
        <v>874</v>
      </c>
      <c r="P262" s="71">
        <f>ROUND(SUM(P263:P265),0)</f>
        <v>1441</v>
      </c>
      <c r="Q262" s="71"/>
      <c r="R262" s="65">
        <f>SUM(J262:P262)</f>
        <v>325693</v>
      </c>
      <c r="T262" s="64">
        <v>285778</v>
      </c>
      <c r="U262" s="64">
        <v>10169</v>
      </c>
      <c r="V262" s="64">
        <v>7789</v>
      </c>
      <c r="W262" s="64">
        <v>303736</v>
      </c>
    </row>
    <row r="263" spans="1:23" s="34" customFormat="1" x14ac:dyDescent="0.3">
      <c r="A263" s="62" t="s">
        <v>210</v>
      </c>
      <c r="B263" s="63">
        <f>4.75*C263</f>
        <v>4.75</v>
      </c>
      <c r="C263" s="63">
        <f>SUM(D265:D265)</f>
        <v>1</v>
      </c>
      <c r="D263" s="42"/>
      <c r="E263" s="63">
        <f>SUM(E265)</f>
        <v>17991</v>
      </c>
      <c r="F263" s="61">
        <v>2083</v>
      </c>
      <c r="G263" s="60">
        <f>C263*F263*3.17*12</f>
        <v>79237.319999999992</v>
      </c>
      <c r="H263" s="60">
        <f>C263*F263*1.58*1.75*12</f>
        <v>69113.94</v>
      </c>
      <c r="I263" s="60">
        <f>C263*F263*0.19*12</f>
        <v>4749.24</v>
      </c>
      <c r="J263" s="60">
        <f>G263+H263+I263</f>
        <v>153100.5</v>
      </c>
      <c r="K263" s="60">
        <f>J263*$K$9</f>
        <v>36116.407950000001</v>
      </c>
      <c r="L263" s="60"/>
      <c r="M263" s="70"/>
      <c r="N263" s="60"/>
      <c r="O263" s="60"/>
      <c r="P263" s="60"/>
      <c r="Q263" s="60"/>
      <c r="R263" s="68"/>
      <c r="T263" s="67"/>
      <c r="U263" s="67"/>
      <c r="V263" s="67"/>
      <c r="W263" s="67"/>
    </row>
    <row r="264" spans="1:23" s="34" customFormat="1" x14ac:dyDescent="0.3">
      <c r="A264" s="62" t="s">
        <v>72</v>
      </c>
      <c r="B264" s="63">
        <f>4.75*C264</f>
        <v>4.75</v>
      </c>
      <c r="C264" s="63">
        <f>C263</f>
        <v>1</v>
      </c>
      <c r="D264" s="42"/>
      <c r="E264" s="42"/>
      <c r="F264" s="61">
        <v>1303</v>
      </c>
      <c r="G264" s="60">
        <f>C264*F264*3.17*12</f>
        <v>49566.12</v>
      </c>
      <c r="H264" s="60">
        <f>C264*F264*1.58*1.75*12</f>
        <v>43233.540000000008</v>
      </c>
      <c r="I264" s="60">
        <f>C264*F264*0.19*12</f>
        <v>2970.84</v>
      </c>
      <c r="J264" s="60">
        <f>G264+H264+I264</f>
        <v>95770.5</v>
      </c>
      <c r="K264" s="60">
        <f>J264*$K$9</f>
        <v>22592.26095</v>
      </c>
      <c r="L264" s="60"/>
      <c r="M264" s="70"/>
      <c r="N264" s="60"/>
      <c r="O264" s="60"/>
      <c r="P264" s="60"/>
      <c r="Q264" s="60"/>
      <c r="R264" s="68"/>
      <c r="T264" s="67"/>
      <c r="U264" s="67"/>
      <c r="V264" s="67"/>
      <c r="W264" s="67"/>
    </row>
    <row r="265" spans="1:23" s="34" customFormat="1" x14ac:dyDescent="0.3">
      <c r="A265" s="53" t="s">
        <v>226</v>
      </c>
      <c r="B265" s="69"/>
      <c r="C265" s="69"/>
      <c r="D265" s="42">
        <v>1</v>
      </c>
      <c r="E265" s="42">
        <f>D265*$F$5</f>
        <v>17991</v>
      </c>
      <c r="F265" s="53"/>
      <c r="G265" s="60"/>
      <c r="H265" s="60"/>
      <c r="I265" s="60"/>
      <c r="J265" s="60"/>
      <c r="K265" s="60"/>
      <c r="L265" s="50">
        <f>$D265*$B$5</f>
        <v>7854</v>
      </c>
      <c r="M265" s="43"/>
      <c r="N265" s="50">
        <f>$D265*$C$5</f>
        <v>7822</v>
      </c>
      <c r="O265" s="50">
        <f>$D265*$D$5</f>
        <v>874</v>
      </c>
      <c r="P265" s="50">
        <f>$D265*$E$5</f>
        <v>1441</v>
      </c>
      <c r="Q265" s="50"/>
      <c r="R265" s="68"/>
      <c r="T265" s="67"/>
      <c r="U265" s="67"/>
      <c r="V265" s="67"/>
      <c r="W265" s="67"/>
    </row>
    <row r="266" spans="1:23" s="34" customFormat="1" x14ac:dyDescent="0.3">
      <c r="A266" s="75" t="s">
        <v>225</v>
      </c>
      <c r="B266" s="69"/>
      <c r="C266" s="69"/>
      <c r="D266" s="42"/>
      <c r="E266" s="42"/>
      <c r="F266" s="53"/>
      <c r="G266" s="60"/>
      <c r="H266" s="60"/>
      <c r="I266" s="60"/>
      <c r="J266" s="71">
        <f>ROUND(SUM(J267:J270),0)</f>
        <v>497742</v>
      </c>
      <c r="K266" s="71">
        <f>ROUND(SUM(K267:K270),0)</f>
        <v>117417</v>
      </c>
      <c r="L266" s="71">
        <f>ROUND(SUM(L267:L270),0)</f>
        <v>710</v>
      </c>
      <c r="M266" s="56">
        <v>249</v>
      </c>
      <c r="N266" s="71">
        <f>ROUND(SUM(N267:N270),0)</f>
        <v>15644</v>
      </c>
      <c r="O266" s="71">
        <f>ROUND(SUM(O267:O270),0)</f>
        <v>1748</v>
      </c>
      <c r="P266" s="71">
        <f>ROUND(SUM(P267:P270),0)</f>
        <v>2882</v>
      </c>
      <c r="Q266" s="71"/>
      <c r="R266" s="65">
        <f>SUM(J266:P266)</f>
        <v>636392</v>
      </c>
      <c r="T266" s="64">
        <v>571557</v>
      </c>
      <c r="U266" s="64">
        <v>5340</v>
      </c>
      <c r="V266" s="64">
        <v>15583</v>
      </c>
      <c r="W266" s="64">
        <v>592480</v>
      </c>
    </row>
    <row r="267" spans="1:23" s="34" customFormat="1" x14ac:dyDescent="0.3">
      <c r="A267" s="62" t="s">
        <v>210</v>
      </c>
      <c r="B267" s="63">
        <f>4.75*C267</f>
        <v>9.5</v>
      </c>
      <c r="C267" s="63">
        <f>SUM(D269:D270)</f>
        <v>2</v>
      </c>
      <c r="D267" s="42"/>
      <c r="E267" s="63">
        <f>SUM(E269:E270)</f>
        <v>20984</v>
      </c>
      <c r="F267" s="61">
        <v>2083</v>
      </c>
      <c r="G267" s="60">
        <f>C267*F267*3.17*12</f>
        <v>158474.63999999998</v>
      </c>
      <c r="H267" s="60">
        <f>C267*F267*1.58*1.75*12</f>
        <v>138227.88</v>
      </c>
      <c r="I267" s="60">
        <f>C267*F267*0.19*12</f>
        <v>9498.48</v>
      </c>
      <c r="J267" s="60">
        <f>G267+H267+I267</f>
        <v>306201</v>
      </c>
      <c r="K267" s="60">
        <f>J267*$K$9</f>
        <v>72232.815900000001</v>
      </c>
      <c r="L267" s="60"/>
      <c r="M267" s="70"/>
      <c r="N267" s="60"/>
      <c r="O267" s="60"/>
      <c r="P267" s="60"/>
      <c r="Q267" s="60"/>
      <c r="R267" s="68"/>
      <c r="T267" s="67"/>
      <c r="U267" s="67"/>
      <c r="V267" s="67"/>
      <c r="W267" s="67"/>
    </row>
    <row r="268" spans="1:23" s="34" customFormat="1" x14ac:dyDescent="0.3">
      <c r="A268" s="62" t="s">
        <v>72</v>
      </c>
      <c r="B268" s="63">
        <f>4.75*C268</f>
        <v>9.5</v>
      </c>
      <c r="C268" s="63">
        <f>C267</f>
        <v>2</v>
      </c>
      <c r="D268" s="42"/>
      <c r="E268" s="42"/>
      <c r="F268" s="61">
        <v>1303</v>
      </c>
      <c r="G268" s="60">
        <f>C268*F268*3.17*12</f>
        <v>99132.24</v>
      </c>
      <c r="H268" s="60">
        <f>C268*F268*1.58*1.75*12</f>
        <v>86467.080000000016</v>
      </c>
      <c r="I268" s="60">
        <f>C268*F268*0.19*12</f>
        <v>5941.68</v>
      </c>
      <c r="J268" s="60">
        <f>G268+H268+I268</f>
        <v>191541</v>
      </c>
      <c r="K268" s="60">
        <f>J268*$K$9</f>
        <v>45184.5219</v>
      </c>
      <c r="L268" s="60"/>
      <c r="M268" s="70"/>
      <c r="N268" s="60"/>
      <c r="O268" s="60"/>
      <c r="P268" s="60"/>
      <c r="Q268" s="60"/>
      <c r="R268" s="68"/>
      <c r="T268" s="67"/>
      <c r="U268" s="67"/>
      <c r="V268" s="67"/>
      <c r="W268" s="67"/>
    </row>
    <row r="269" spans="1:23" s="34" customFormat="1" x14ac:dyDescent="0.3">
      <c r="A269" s="53" t="s">
        <v>216</v>
      </c>
      <c r="B269" s="69"/>
      <c r="C269" s="69"/>
      <c r="D269" s="42">
        <v>1</v>
      </c>
      <c r="E269" s="42">
        <f>D269*$F$8</f>
        <v>10467</v>
      </c>
      <c r="F269" s="53"/>
      <c r="G269" s="60"/>
      <c r="H269" s="60"/>
      <c r="I269" s="60"/>
      <c r="J269" s="60"/>
      <c r="K269" s="60"/>
      <c r="L269" s="50">
        <f>$D269*$B$8</f>
        <v>330</v>
      </c>
      <c r="M269" s="56"/>
      <c r="N269" s="50">
        <f>$D269*$C$8</f>
        <v>7822</v>
      </c>
      <c r="O269" s="50">
        <f>$D269*$D$8</f>
        <v>874</v>
      </c>
      <c r="P269" s="50">
        <f>$D269*$E$8</f>
        <v>1441</v>
      </c>
      <c r="Q269" s="50"/>
      <c r="R269" s="68"/>
      <c r="T269" s="67"/>
      <c r="U269" s="67"/>
      <c r="V269" s="67"/>
      <c r="W269" s="67"/>
    </row>
    <row r="270" spans="1:23" s="34" customFormat="1" x14ac:dyDescent="0.3">
      <c r="A270" s="53" t="s">
        <v>224</v>
      </c>
      <c r="B270" s="69"/>
      <c r="C270" s="69"/>
      <c r="D270" s="42">
        <v>1</v>
      </c>
      <c r="E270" s="42">
        <f>D270*$F$7</f>
        <v>10517</v>
      </c>
      <c r="F270" s="53"/>
      <c r="G270" s="60"/>
      <c r="H270" s="60"/>
      <c r="I270" s="60"/>
      <c r="J270" s="60"/>
      <c r="K270" s="60"/>
      <c r="L270" s="50">
        <f>$D270*$B$7</f>
        <v>380</v>
      </c>
      <c r="M270" s="56"/>
      <c r="N270" s="50">
        <f>$D270*$C$7</f>
        <v>7822</v>
      </c>
      <c r="O270" s="50">
        <f>$D270*$D$7</f>
        <v>874</v>
      </c>
      <c r="P270" s="50">
        <f>$D270*$E$7</f>
        <v>1441</v>
      </c>
      <c r="Q270" s="50"/>
      <c r="R270" s="68"/>
      <c r="T270" s="67"/>
      <c r="U270" s="67"/>
      <c r="V270" s="67"/>
      <c r="W270" s="67"/>
    </row>
    <row r="271" spans="1:23" s="34" customFormat="1" x14ac:dyDescent="0.3">
      <c r="A271" s="62" t="s">
        <v>223</v>
      </c>
      <c r="B271" s="69"/>
      <c r="C271" s="69"/>
      <c r="D271" s="42"/>
      <c r="E271" s="42"/>
      <c r="F271" s="53"/>
      <c r="G271" s="60"/>
      <c r="H271" s="60"/>
      <c r="I271" s="60"/>
      <c r="J271" s="71">
        <f>ROUND(SUM(J272:J276),0)</f>
        <v>746613</v>
      </c>
      <c r="K271" s="71">
        <f>ROUND(SUM(K272:K276),0)</f>
        <v>176126</v>
      </c>
      <c r="L271" s="71">
        <f>ROUND(SUM(L272:L276),0)</f>
        <v>16973</v>
      </c>
      <c r="M271" s="71">
        <v>3730</v>
      </c>
      <c r="N271" s="71">
        <f>ROUND(SUM(N272:N276),0)</f>
        <v>23466</v>
      </c>
      <c r="O271" s="71">
        <f>ROUND(SUM(O272:O276),0)</f>
        <v>2622</v>
      </c>
      <c r="P271" s="71">
        <f>ROUND(SUM(P272:P276),0)</f>
        <v>4323</v>
      </c>
      <c r="Q271" s="71"/>
      <c r="R271" s="65">
        <f>SUM(J271:P271)</f>
        <v>973853</v>
      </c>
      <c r="T271" s="64">
        <v>857335</v>
      </c>
      <c r="U271" s="64">
        <v>23918</v>
      </c>
      <c r="V271" s="64">
        <v>26731</v>
      </c>
      <c r="W271" s="64">
        <v>907984</v>
      </c>
    </row>
    <row r="272" spans="1:23" s="34" customFormat="1" x14ac:dyDescent="0.3">
      <c r="A272" s="62" t="s">
        <v>210</v>
      </c>
      <c r="B272" s="63">
        <f>4.75*C272</f>
        <v>14.25</v>
      </c>
      <c r="C272" s="63">
        <f>SUM(D274:D276)</f>
        <v>3</v>
      </c>
      <c r="D272" s="42"/>
      <c r="E272" s="63">
        <f>SUM(E274:E276)</f>
        <v>47384</v>
      </c>
      <c r="F272" s="61">
        <v>2083</v>
      </c>
      <c r="G272" s="60">
        <f>C272*F272*3.17*12</f>
        <v>237711.95999999996</v>
      </c>
      <c r="H272" s="60">
        <f>C272*F272*1.58*1.75*12</f>
        <v>207341.82</v>
      </c>
      <c r="I272" s="60">
        <f>C272*F272*0.19*12</f>
        <v>14247.72</v>
      </c>
      <c r="J272" s="60">
        <f>G272+H272+I272</f>
        <v>459301.49999999994</v>
      </c>
      <c r="K272" s="60">
        <f>J272*$K$9</f>
        <v>108349.22384999998</v>
      </c>
      <c r="L272" s="60"/>
      <c r="M272" s="70"/>
      <c r="N272" s="60"/>
      <c r="O272" s="60"/>
      <c r="P272" s="60"/>
      <c r="Q272" s="60"/>
      <c r="R272" s="68"/>
      <c r="T272" s="67"/>
      <c r="U272" s="67"/>
      <c r="V272" s="67"/>
      <c r="W272" s="67"/>
    </row>
    <row r="273" spans="1:23" s="34" customFormat="1" x14ac:dyDescent="0.3">
      <c r="A273" s="62" t="s">
        <v>72</v>
      </c>
      <c r="B273" s="63">
        <f>4.75*C273</f>
        <v>14.25</v>
      </c>
      <c r="C273" s="63">
        <f>C272</f>
        <v>3</v>
      </c>
      <c r="D273" s="42"/>
      <c r="E273" s="42"/>
      <c r="F273" s="61">
        <v>1303</v>
      </c>
      <c r="G273" s="60">
        <f>C273*F273*3.17*12</f>
        <v>148698.35999999999</v>
      </c>
      <c r="H273" s="60">
        <f>C273*F273*1.58*1.75*12</f>
        <v>129700.62</v>
      </c>
      <c r="I273" s="60">
        <f>C273*F273*0.19*12</f>
        <v>8912.52</v>
      </c>
      <c r="J273" s="60">
        <f>G273+H273+I273</f>
        <v>287311.5</v>
      </c>
      <c r="K273" s="60">
        <f>J273*$K$9</f>
        <v>67776.782850000003</v>
      </c>
      <c r="L273" s="60"/>
      <c r="M273" s="70"/>
      <c r="N273" s="60"/>
      <c r="O273" s="60"/>
      <c r="P273" s="60"/>
      <c r="Q273" s="60"/>
      <c r="R273" s="68"/>
      <c r="T273" s="67"/>
      <c r="U273" s="67"/>
      <c r="V273" s="67"/>
      <c r="W273" s="67"/>
    </row>
    <row r="274" spans="1:23" s="34" customFormat="1" x14ac:dyDescent="0.3">
      <c r="A274" s="53" t="s">
        <v>222</v>
      </c>
      <c r="B274" s="69"/>
      <c r="C274" s="69"/>
      <c r="D274" s="42">
        <v>1</v>
      </c>
      <c r="E274" s="42">
        <f>D274*$F$5</f>
        <v>17991</v>
      </c>
      <c r="F274" s="53"/>
      <c r="G274" s="60"/>
      <c r="H274" s="60"/>
      <c r="I274" s="60"/>
      <c r="J274" s="60"/>
      <c r="K274" s="60"/>
      <c r="L274" s="50">
        <f>$D274*$B$5</f>
        <v>7854</v>
      </c>
      <c r="M274" s="56"/>
      <c r="N274" s="50">
        <f>$D274*$C$5</f>
        <v>7822</v>
      </c>
      <c r="O274" s="50">
        <f>$D274*$D$5</f>
        <v>874</v>
      </c>
      <c r="P274" s="50">
        <f>$D274*$E$5</f>
        <v>1441</v>
      </c>
      <c r="Q274" s="50"/>
      <c r="R274" s="68"/>
      <c r="T274" s="67"/>
      <c r="U274" s="67"/>
      <c r="V274" s="67"/>
      <c r="W274" s="67"/>
    </row>
    <row r="275" spans="1:23" x14ac:dyDescent="0.3">
      <c r="A275" s="53" t="s">
        <v>214</v>
      </c>
      <c r="B275" s="69"/>
      <c r="C275" s="69"/>
      <c r="D275" s="42">
        <v>1</v>
      </c>
      <c r="E275" s="42">
        <f>D275*$F$5</f>
        <v>17991</v>
      </c>
      <c r="F275" s="53"/>
      <c r="G275" s="60"/>
      <c r="H275" s="60"/>
      <c r="I275" s="60"/>
      <c r="J275" s="60"/>
      <c r="K275" s="60"/>
      <c r="L275" s="50">
        <f>$D275*$B$5</f>
        <v>7854</v>
      </c>
      <c r="M275" s="56"/>
      <c r="N275" s="50">
        <f>$D275*$C$5</f>
        <v>7822</v>
      </c>
      <c r="O275" s="50">
        <f>$D275*$D$5</f>
        <v>874</v>
      </c>
      <c r="P275" s="50">
        <f>$D275*$E$5</f>
        <v>1441</v>
      </c>
      <c r="Q275" s="50"/>
      <c r="R275" s="68"/>
      <c r="T275" s="67"/>
      <c r="U275" s="67"/>
      <c r="V275" s="67"/>
      <c r="W275" s="67"/>
    </row>
    <row r="276" spans="1:23" x14ac:dyDescent="0.3">
      <c r="A276" s="53" t="s">
        <v>221</v>
      </c>
      <c r="B276" s="69"/>
      <c r="C276" s="69"/>
      <c r="D276" s="42">
        <v>1</v>
      </c>
      <c r="E276" s="42">
        <f>D276*$F$6</f>
        <v>11402</v>
      </c>
      <c r="F276" s="53"/>
      <c r="G276" s="77"/>
      <c r="H276" s="77"/>
      <c r="I276" s="77"/>
      <c r="J276" s="77"/>
      <c r="K276" s="77"/>
      <c r="L276" s="50">
        <f>$D276*$B$6</f>
        <v>1265</v>
      </c>
      <c r="M276" s="43"/>
      <c r="N276" s="50">
        <f>$D276*$C$6</f>
        <v>7822</v>
      </c>
      <c r="O276" s="50">
        <f>$D276*$D$6</f>
        <v>874</v>
      </c>
      <c r="P276" s="50">
        <f>$D276*$E$6</f>
        <v>1441</v>
      </c>
      <c r="Q276" s="50"/>
      <c r="R276" s="76"/>
      <c r="T276" s="67"/>
      <c r="U276" s="67"/>
      <c r="V276" s="67"/>
      <c r="W276" s="67"/>
    </row>
    <row r="277" spans="1:23" x14ac:dyDescent="0.3">
      <c r="A277" s="43" t="s">
        <v>220</v>
      </c>
      <c r="B277" s="78"/>
      <c r="C277" s="78"/>
      <c r="D277" s="42"/>
      <c r="E277" s="42"/>
      <c r="F277" s="53"/>
      <c r="G277" s="52"/>
      <c r="H277" s="52"/>
      <c r="I277" s="52"/>
      <c r="J277" s="74">
        <f>ROUND(SUM(J278:J280),0)</f>
        <v>248871</v>
      </c>
      <c r="K277" s="74">
        <f>ROUND(SUM(K278:K280),0)</f>
        <v>58709</v>
      </c>
      <c r="L277" s="73">
        <f>ROUND(SUM(L278:L280),0)</f>
        <v>330</v>
      </c>
      <c r="M277" s="56">
        <v>230</v>
      </c>
      <c r="N277" s="73">
        <f>ROUND(SUM(N278:N280),0)</f>
        <v>7822</v>
      </c>
      <c r="O277" s="73">
        <f>ROUND(SUM(O278:O280),0)</f>
        <v>874</v>
      </c>
      <c r="P277" s="73">
        <f>ROUND(SUM(P278:P280),0)</f>
        <v>1441</v>
      </c>
      <c r="Q277" s="73"/>
      <c r="R277" s="72">
        <f>SUM(J277:P277)</f>
        <v>318277</v>
      </c>
      <c r="T277" s="64">
        <v>285778</v>
      </c>
      <c r="U277" s="64">
        <v>2645</v>
      </c>
      <c r="V277" s="64">
        <v>7897</v>
      </c>
      <c r="W277" s="64">
        <v>296320</v>
      </c>
    </row>
    <row r="278" spans="1:23" x14ac:dyDescent="0.3">
      <c r="A278" s="62" t="s">
        <v>210</v>
      </c>
      <c r="B278" s="59">
        <f>4.75*C278</f>
        <v>4.75</v>
      </c>
      <c r="C278" s="59">
        <f>SUM(D280:D281)</f>
        <v>1</v>
      </c>
      <c r="D278" s="42"/>
      <c r="E278" s="63">
        <f>SUM(E280)</f>
        <v>10467</v>
      </c>
      <c r="F278" s="61">
        <v>2083</v>
      </c>
      <c r="G278" s="52">
        <f>C278*F278*3.17*12</f>
        <v>79237.319999999992</v>
      </c>
      <c r="H278" s="52">
        <f>C278*F278*1.58*1.75*12</f>
        <v>69113.94</v>
      </c>
      <c r="I278" s="52">
        <f>C278*F278*0.19*12</f>
        <v>4749.24</v>
      </c>
      <c r="J278" s="52">
        <f>G278+H278+I278</f>
        <v>153100.5</v>
      </c>
      <c r="K278" s="77">
        <f>J278*$K$9</f>
        <v>36116.407950000001</v>
      </c>
      <c r="L278" s="50"/>
      <c r="M278" s="56"/>
      <c r="N278" s="50"/>
      <c r="O278" s="50"/>
      <c r="P278" s="50"/>
      <c r="Q278" s="50"/>
      <c r="R278" s="76"/>
      <c r="T278" s="67"/>
      <c r="U278" s="67"/>
      <c r="V278" s="67"/>
      <c r="W278" s="67"/>
    </row>
    <row r="279" spans="1:23" x14ac:dyDescent="0.3">
      <c r="A279" s="62" t="s">
        <v>72</v>
      </c>
      <c r="B279" s="59">
        <f>4.75*C279</f>
        <v>4.75</v>
      </c>
      <c r="C279" s="59">
        <f>C278</f>
        <v>1</v>
      </c>
      <c r="D279" s="42"/>
      <c r="E279" s="42"/>
      <c r="F279" s="61">
        <v>1303</v>
      </c>
      <c r="G279" s="52">
        <f>C279*F279*3.17*12</f>
        <v>49566.12</v>
      </c>
      <c r="H279" s="52">
        <f>C279*F279*1.58*1.75*12</f>
        <v>43233.540000000008</v>
      </c>
      <c r="I279" s="52">
        <f>C279*F279*0.19*12</f>
        <v>2970.84</v>
      </c>
      <c r="J279" s="52">
        <f>G279+H279+I279</f>
        <v>95770.5</v>
      </c>
      <c r="K279" s="77">
        <f>J279*$K$9</f>
        <v>22592.26095</v>
      </c>
      <c r="L279" s="50"/>
      <c r="M279" s="56"/>
      <c r="N279" s="50"/>
      <c r="O279" s="50"/>
      <c r="P279" s="50"/>
      <c r="Q279" s="50"/>
      <c r="R279" s="76"/>
      <c r="T279" s="67"/>
      <c r="U279" s="67"/>
      <c r="V279" s="67"/>
      <c r="W279" s="67"/>
    </row>
    <row r="280" spans="1:23" x14ac:dyDescent="0.3">
      <c r="A280" s="53" t="s">
        <v>216</v>
      </c>
      <c r="B280" s="55"/>
      <c r="C280" s="55"/>
      <c r="D280" s="54">
        <v>1</v>
      </c>
      <c r="E280" s="42">
        <f>D280*$F$8</f>
        <v>10467</v>
      </c>
      <c r="F280" s="53"/>
      <c r="G280" s="77"/>
      <c r="H280" s="77"/>
      <c r="I280" s="77"/>
      <c r="J280" s="77"/>
      <c r="K280" s="77"/>
      <c r="L280" s="50">
        <f>$D280*$B$8</f>
        <v>330</v>
      </c>
      <c r="M280" s="43"/>
      <c r="N280" s="50">
        <f>$D280*$C$8</f>
        <v>7822</v>
      </c>
      <c r="O280" s="50">
        <f>$D280*$D$8</f>
        <v>874</v>
      </c>
      <c r="P280" s="50">
        <f>$D280*$E$8</f>
        <v>1441</v>
      </c>
      <c r="Q280" s="50"/>
      <c r="R280" s="76"/>
      <c r="T280" s="67"/>
      <c r="U280" s="67"/>
      <c r="V280" s="67"/>
      <c r="W280" s="67"/>
    </row>
    <row r="281" spans="1:23" x14ac:dyDescent="0.3">
      <c r="A281" s="75" t="s">
        <v>219</v>
      </c>
      <c r="B281" s="55"/>
      <c r="C281" s="55"/>
      <c r="D281" s="42"/>
      <c r="E281" s="42"/>
      <c r="F281" s="53"/>
      <c r="G281" s="52"/>
      <c r="H281" s="52"/>
      <c r="I281" s="52"/>
      <c r="J281" s="74">
        <f>ROUND(SUM(J282:J284),0)</f>
        <v>248871</v>
      </c>
      <c r="K281" s="74">
        <f>ROUND(SUM(K282:K284),0)</f>
        <v>58709</v>
      </c>
      <c r="L281" s="73">
        <f>ROUND(SUM(L282:L284),0)</f>
        <v>330</v>
      </c>
      <c r="M281" s="56">
        <v>139</v>
      </c>
      <c r="N281" s="73">
        <f>ROUND(SUM(N282:N284),0)</f>
        <v>7822</v>
      </c>
      <c r="O281" s="73">
        <f>ROUND(SUM(O282:O284),0)</f>
        <v>874</v>
      </c>
      <c r="P281" s="73">
        <f>ROUND(SUM(P282:P284),0)</f>
        <v>1441</v>
      </c>
      <c r="Q281" s="73"/>
      <c r="R281" s="72">
        <f>SUM(J281:P281)</f>
        <v>318186</v>
      </c>
      <c r="T281" s="64">
        <v>285778</v>
      </c>
      <c r="U281" s="64">
        <v>2645</v>
      </c>
      <c r="V281" s="64">
        <v>7806</v>
      </c>
      <c r="W281" s="64">
        <v>296229</v>
      </c>
    </row>
    <row r="282" spans="1:23" x14ac:dyDescent="0.3">
      <c r="A282" s="62" t="s">
        <v>210</v>
      </c>
      <c r="B282" s="59">
        <f>4.75*C282</f>
        <v>4.75</v>
      </c>
      <c r="C282" s="59">
        <f>SUM(D284:D285)</f>
        <v>1</v>
      </c>
      <c r="D282" s="42"/>
      <c r="E282" s="63">
        <f>SUM(E284)</f>
        <v>10467</v>
      </c>
      <c r="F282" s="61">
        <v>2083</v>
      </c>
      <c r="G282" s="52">
        <f>C282*F282*3.17*12</f>
        <v>79237.319999999992</v>
      </c>
      <c r="H282" s="52">
        <f>C282*F282*1.58*1.75*12</f>
        <v>69113.94</v>
      </c>
      <c r="I282" s="52">
        <f>C282*F282*0.19*12</f>
        <v>4749.24</v>
      </c>
      <c r="J282" s="52">
        <f>G282+H282+I282</f>
        <v>153100.5</v>
      </c>
      <c r="K282" s="77">
        <f>J282*$K$9</f>
        <v>36116.407950000001</v>
      </c>
      <c r="L282" s="50"/>
      <c r="M282" s="56"/>
      <c r="N282" s="50"/>
      <c r="O282" s="50"/>
      <c r="P282" s="50"/>
      <c r="Q282" s="50"/>
      <c r="R282" s="76"/>
      <c r="T282" s="67"/>
      <c r="U282" s="67"/>
      <c r="V282" s="67"/>
      <c r="W282" s="67"/>
    </row>
    <row r="283" spans="1:23" x14ac:dyDescent="0.3">
      <c r="A283" s="62" t="s">
        <v>72</v>
      </c>
      <c r="B283" s="59">
        <f>4.75*C283</f>
        <v>4.75</v>
      </c>
      <c r="C283" s="59">
        <f>C282</f>
        <v>1</v>
      </c>
      <c r="D283" s="42"/>
      <c r="E283" s="42"/>
      <c r="F283" s="61">
        <v>1303</v>
      </c>
      <c r="G283" s="52">
        <f>C283*F283*3.17*12</f>
        <v>49566.12</v>
      </c>
      <c r="H283" s="52">
        <f>C283*F283*1.58*1.75*12</f>
        <v>43233.540000000008</v>
      </c>
      <c r="I283" s="52">
        <f>C283*F283*0.19*12</f>
        <v>2970.84</v>
      </c>
      <c r="J283" s="52">
        <f>G283+H283+I283</f>
        <v>95770.5</v>
      </c>
      <c r="K283" s="77">
        <f>J283*$K$9</f>
        <v>22592.26095</v>
      </c>
      <c r="L283" s="50"/>
      <c r="M283" s="56"/>
      <c r="N283" s="50"/>
      <c r="O283" s="50"/>
      <c r="P283" s="50"/>
      <c r="Q283" s="50"/>
      <c r="R283" s="76"/>
      <c r="T283" s="67"/>
      <c r="U283" s="67"/>
      <c r="V283" s="67"/>
      <c r="W283" s="67"/>
    </row>
    <row r="284" spans="1:23" x14ac:dyDescent="0.3">
      <c r="A284" s="53" t="s">
        <v>216</v>
      </c>
      <c r="B284" s="55"/>
      <c r="C284" s="55"/>
      <c r="D284" s="54">
        <v>1</v>
      </c>
      <c r="E284" s="42">
        <f>D284*$F$8</f>
        <v>10467</v>
      </c>
      <c r="F284" s="53"/>
      <c r="G284" s="77"/>
      <c r="H284" s="77"/>
      <c r="I284" s="77"/>
      <c r="J284" s="77"/>
      <c r="K284" s="77"/>
      <c r="L284" s="50">
        <f>$D284*$B$8</f>
        <v>330</v>
      </c>
      <c r="M284" s="43"/>
      <c r="N284" s="50">
        <f>$D284*$C$8</f>
        <v>7822</v>
      </c>
      <c r="O284" s="50">
        <f>$D284*$D$8</f>
        <v>874</v>
      </c>
      <c r="P284" s="50">
        <f>$D284*$E$8</f>
        <v>1441</v>
      </c>
      <c r="Q284" s="50"/>
      <c r="R284" s="76"/>
      <c r="T284" s="67"/>
      <c r="U284" s="67"/>
      <c r="V284" s="67"/>
      <c r="W284" s="67"/>
    </row>
    <row r="285" spans="1:23" x14ac:dyDescent="0.3">
      <c r="A285" s="75" t="s">
        <v>218</v>
      </c>
      <c r="B285" s="55"/>
      <c r="C285" s="55"/>
      <c r="D285" s="42"/>
      <c r="E285" s="42"/>
      <c r="F285" s="53"/>
      <c r="G285" s="52"/>
      <c r="H285" s="52"/>
      <c r="I285" s="52"/>
      <c r="J285" s="74">
        <f>ROUND(SUM(J286:J288),0)</f>
        <v>248871</v>
      </c>
      <c r="K285" s="74">
        <f>ROUND(SUM(K286:K288),0)</f>
        <v>58709</v>
      </c>
      <c r="L285" s="73">
        <f>ROUND(SUM(L286:L288),0)</f>
        <v>330</v>
      </c>
      <c r="M285" s="56">
        <v>59</v>
      </c>
      <c r="N285" s="73">
        <f>ROUND(SUM(N286:N288),0)</f>
        <v>7822</v>
      </c>
      <c r="O285" s="73">
        <f>ROUND(SUM(O286:O288),0)</f>
        <v>874</v>
      </c>
      <c r="P285" s="73">
        <f>ROUND(SUM(P286:P288),0)</f>
        <v>1441</v>
      </c>
      <c r="Q285" s="73"/>
      <c r="R285" s="72">
        <f>SUM(J285:P285)</f>
        <v>318106</v>
      </c>
      <c r="T285" s="64">
        <v>285778</v>
      </c>
      <c r="U285" s="64">
        <v>2645</v>
      </c>
      <c r="V285" s="64">
        <v>7726</v>
      </c>
      <c r="W285" s="64">
        <v>296149</v>
      </c>
    </row>
    <row r="286" spans="1:23" x14ac:dyDescent="0.3">
      <c r="A286" s="62" t="s">
        <v>210</v>
      </c>
      <c r="B286" s="59">
        <f>4.75*C286</f>
        <v>4.75</v>
      </c>
      <c r="C286" s="59">
        <f>SUM(D288:D289)</f>
        <v>1</v>
      </c>
      <c r="D286" s="42"/>
      <c r="E286" s="63">
        <f>SUM(E288)</f>
        <v>10467</v>
      </c>
      <c r="F286" s="61">
        <v>2083</v>
      </c>
      <c r="G286" s="51">
        <f>C286*F286*3.17*12</f>
        <v>79237.319999999992</v>
      </c>
      <c r="H286" s="51">
        <f>C286*F286*1.58*1.75*12</f>
        <v>69113.94</v>
      </c>
      <c r="I286" s="51">
        <f>C286*F286*0.19*12</f>
        <v>4749.24</v>
      </c>
      <c r="J286" s="51">
        <f>G286+H286+I286</f>
        <v>153100.5</v>
      </c>
      <c r="K286" s="60">
        <f>J286*$K$9</f>
        <v>36116.407950000001</v>
      </c>
      <c r="L286" s="50"/>
      <c r="M286" s="56"/>
      <c r="N286" s="50"/>
      <c r="O286" s="50"/>
      <c r="P286" s="50"/>
      <c r="Q286" s="50"/>
      <c r="R286" s="68"/>
      <c r="T286" s="67"/>
      <c r="U286" s="67"/>
      <c r="V286" s="67"/>
      <c r="W286" s="67"/>
    </row>
    <row r="287" spans="1:23" x14ac:dyDescent="0.3">
      <c r="A287" s="62" t="s">
        <v>72</v>
      </c>
      <c r="B287" s="59">
        <f>4.75*C287</f>
        <v>4.75</v>
      </c>
      <c r="C287" s="59">
        <f>C286</f>
        <v>1</v>
      </c>
      <c r="D287" s="42"/>
      <c r="E287" s="42"/>
      <c r="F287" s="61">
        <v>1303</v>
      </c>
      <c r="G287" s="51">
        <f>C287*F287*3.17*12</f>
        <v>49566.12</v>
      </c>
      <c r="H287" s="51">
        <f>C287*F287*1.58*1.75*12</f>
        <v>43233.540000000008</v>
      </c>
      <c r="I287" s="51">
        <f>C287*F287*0.19*12</f>
        <v>2970.84</v>
      </c>
      <c r="J287" s="51">
        <f>G287+H287+I287</f>
        <v>95770.5</v>
      </c>
      <c r="K287" s="60">
        <f>J287*$K$9</f>
        <v>22592.26095</v>
      </c>
      <c r="L287" s="50"/>
      <c r="M287" s="56"/>
      <c r="N287" s="50"/>
      <c r="O287" s="50"/>
      <c r="P287" s="50"/>
      <c r="Q287" s="50"/>
      <c r="R287" s="68"/>
      <c r="T287" s="67"/>
      <c r="U287" s="67"/>
      <c r="V287" s="67"/>
      <c r="W287" s="67"/>
    </row>
    <row r="288" spans="1:23" x14ac:dyDescent="0.3">
      <c r="A288" s="53" t="s">
        <v>216</v>
      </c>
      <c r="B288" s="55"/>
      <c r="C288" s="55"/>
      <c r="D288" s="54">
        <v>1</v>
      </c>
      <c r="E288" s="42">
        <f>D288*$F$8</f>
        <v>10467</v>
      </c>
      <c r="F288" s="53"/>
      <c r="G288" s="60"/>
      <c r="H288" s="60"/>
      <c r="I288" s="60"/>
      <c r="J288" s="60"/>
      <c r="K288" s="60"/>
      <c r="L288" s="50">
        <f>$D288*$B$8</f>
        <v>330</v>
      </c>
      <c r="M288" s="43"/>
      <c r="N288" s="50">
        <f>$D288*$C$8</f>
        <v>7822</v>
      </c>
      <c r="O288" s="50">
        <f>$D288*$D$8</f>
        <v>874</v>
      </c>
      <c r="P288" s="50">
        <f>$D288*$E$8</f>
        <v>1441</v>
      </c>
      <c r="Q288" s="50"/>
      <c r="R288" s="68"/>
      <c r="T288" s="67"/>
      <c r="U288" s="67"/>
      <c r="V288" s="67"/>
      <c r="W288" s="67"/>
    </row>
    <row r="289" spans="1:30" x14ac:dyDescent="0.3">
      <c r="A289" s="62" t="s">
        <v>217</v>
      </c>
      <c r="B289" s="69"/>
      <c r="C289" s="69"/>
      <c r="D289" s="42"/>
      <c r="E289" s="42"/>
      <c r="F289" s="53"/>
      <c r="G289" s="60"/>
      <c r="H289" s="60"/>
      <c r="I289" s="60"/>
      <c r="J289" s="71">
        <f>ROUND(SUM(J290:J292),0)</f>
        <v>248871</v>
      </c>
      <c r="K289" s="71">
        <f>ROUND(SUM(K290:K292),0)</f>
        <v>58709</v>
      </c>
      <c r="L289" s="71">
        <f>ROUND(SUM(L290:L292),0)</f>
        <v>330</v>
      </c>
      <c r="M289" s="56">
        <v>0</v>
      </c>
      <c r="N289" s="71">
        <f>ROUND(SUM(N290:N292),0)</f>
        <v>7822</v>
      </c>
      <c r="O289" s="71">
        <f>ROUND(SUM(O290:O292),0)</f>
        <v>874</v>
      </c>
      <c r="P289" s="71">
        <f>ROUND(SUM(P290:P292),0)</f>
        <v>1441</v>
      </c>
      <c r="Q289" s="71"/>
      <c r="R289" s="65">
        <f>SUM(J289:P289)</f>
        <v>318047</v>
      </c>
      <c r="T289" s="64">
        <v>285778</v>
      </c>
      <c r="U289" s="64">
        <v>2645</v>
      </c>
      <c r="V289" s="64">
        <v>7667</v>
      </c>
      <c r="W289" s="64">
        <v>296090</v>
      </c>
    </row>
    <row r="290" spans="1:30" x14ac:dyDescent="0.3">
      <c r="A290" s="62" t="s">
        <v>210</v>
      </c>
      <c r="B290" s="63">
        <f>4.75*C290</f>
        <v>4.75</v>
      </c>
      <c r="C290" s="63">
        <f>SUM(D292:D292)</f>
        <v>1</v>
      </c>
      <c r="D290" s="42"/>
      <c r="E290" s="63">
        <f>SUM(E292)</f>
        <v>10467</v>
      </c>
      <c r="F290" s="61">
        <v>2083</v>
      </c>
      <c r="G290" s="60">
        <f>C290*F290*3.17*12</f>
        <v>79237.319999999992</v>
      </c>
      <c r="H290" s="60">
        <f>C290*F290*1.58*1.75*12</f>
        <v>69113.94</v>
      </c>
      <c r="I290" s="60">
        <f>C290*F290*0.19*12</f>
        <v>4749.24</v>
      </c>
      <c r="J290" s="60">
        <f>G290+H290+I290</f>
        <v>153100.5</v>
      </c>
      <c r="K290" s="60">
        <f>J290*$K$9</f>
        <v>36116.407950000001</v>
      </c>
      <c r="L290" s="60"/>
      <c r="M290" s="70"/>
      <c r="N290" s="60"/>
      <c r="O290" s="60"/>
      <c r="P290" s="60"/>
      <c r="Q290" s="60"/>
      <c r="R290" s="68"/>
      <c r="T290" s="67"/>
      <c r="U290" s="67"/>
      <c r="V290" s="67"/>
      <c r="W290" s="67"/>
    </row>
    <row r="291" spans="1:30" x14ac:dyDescent="0.3">
      <c r="A291" s="62" t="s">
        <v>72</v>
      </c>
      <c r="B291" s="63">
        <f>4.75*C291</f>
        <v>4.75</v>
      </c>
      <c r="C291" s="63">
        <f>C290</f>
        <v>1</v>
      </c>
      <c r="D291" s="42"/>
      <c r="E291" s="42"/>
      <c r="F291" s="61">
        <v>1303</v>
      </c>
      <c r="G291" s="60">
        <f>C291*F291*3.17*12</f>
        <v>49566.12</v>
      </c>
      <c r="H291" s="60">
        <f>C291*F291*1.58*1.75*12</f>
        <v>43233.540000000008</v>
      </c>
      <c r="I291" s="60">
        <f>C291*F291*0.19*12</f>
        <v>2970.84</v>
      </c>
      <c r="J291" s="60">
        <f>G291+H291+I291</f>
        <v>95770.5</v>
      </c>
      <c r="K291" s="60">
        <f>J291*$K$9</f>
        <v>22592.26095</v>
      </c>
      <c r="L291" s="60"/>
      <c r="M291" s="70"/>
      <c r="N291" s="60"/>
      <c r="O291" s="60"/>
      <c r="P291" s="60"/>
      <c r="Q291" s="60"/>
      <c r="R291" s="68"/>
      <c r="T291" s="67"/>
      <c r="U291" s="67"/>
      <c r="V291" s="67"/>
      <c r="W291" s="67"/>
    </row>
    <row r="292" spans="1:30" x14ac:dyDescent="0.3">
      <c r="A292" s="53" t="s">
        <v>216</v>
      </c>
      <c r="B292" s="69"/>
      <c r="C292" s="69"/>
      <c r="D292" s="42">
        <v>1</v>
      </c>
      <c r="E292" s="42">
        <f>D292*$F$8</f>
        <v>10467</v>
      </c>
      <c r="F292" s="53"/>
      <c r="G292" s="60"/>
      <c r="H292" s="60"/>
      <c r="I292" s="60"/>
      <c r="J292" s="60"/>
      <c r="K292" s="60">
        <f>J292*0.2359</f>
        <v>0</v>
      </c>
      <c r="L292" s="50">
        <f>$D292*$B$8</f>
        <v>330</v>
      </c>
      <c r="M292" s="56"/>
      <c r="N292" s="50">
        <f>$D292*$C$8</f>
        <v>7822</v>
      </c>
      <c r="O292" s="50">
        <f>$D292*$D$7</f>
        <v>874</v>
      </c>
      <c r="P292" s="50">
        <f>$D292*$E$7</f>
        <v>1441</v>
      </c>
      <c r="Q292" s="50"/>
      <c r="R292" s="68"/>
      <c r="T292" s="67"/>
      <c r="U292" s="67"/>
      <c r="V292" s="67"/>
      <c r="W292" s="67"/>
    </row>
    <row r="293" spans="1:30" x14ac:dyDescent="0.3">
      <c r="A293" s="62" t="s">
        <v>215</v>
      </c>
      <c r="B293" s="55"/>
      <c r="C293" s="55"/>
      <c r="D293" s="42"/>
      <c r="E293" s="42"/>
      <c r="F293" s="53"/>
      <c r="G293" s="51"/>
      <c r="H293" s="51"/>
      <c r="I293" s="51"/>
      <c r="J293" s="66">
        <f>ROUND(SUM(J294:J295),0)</f>
        <v>995484</v>
      </c>
      <c r="K293" s="66">
        <f>ROUND(SUM(K294:K295),0)</f>
        <v>234835</v>
      </c>
      <c r="L293" s="66">
        <f>ROUND(SUM(L294:L299),0)</f>
        <v>18238</v>
      </c>
      <c r="M293" s="56">
        <v>1710</v>
      </c>
      <c r="N293" s="66">
        <f>ROUND(SUM(N294:N299),0)</f>
        <v>31288</v>
      </c>
      <c r="O293" s="66">
        <f>ROUND(SUM(O294:O299),0)</f>
        <v>3496</v>
      </c>
      <c r="P293" s="66">
        <f>ROUND(SUM(P294:P299),0)</f>
        <v>5764</v>
      </c>
      <c r="Q293" s="49"/>
      <c r="R293" s="65">
        <f>SUM(J293:P293)</f>
        <v>1290815</v>
      </c>
      <c r="T293" s="64">
        <v>1143114</v>
      </c>
      <c r="U293" s="64">
        <v>27498</v>
      </c>
      <c r="V293" s="64">
        <v>32378</v>
      </c>
      <c r="W293" s="64">
        <v>1202990</v>
      </c>
    </row>
    <row r="294" spans="1:30" x14ac:dyDescent="0.3">
      <c r="A294" s="62" t="s">
        <v>210</v>
      </c>
      <c r="B294" s="59">
        <f>4.75*C294</f>
        <v>19</v>
      </c>
      <c r="C294" s="59">
        <f>SUM(D296:D299)</f>
        <v>4</v>
      </c>
      <c r="D294" s="42"/>
      <c r="E294" s="63">
        <f>SUM(E296:E299)</f>
        <v>58786</v>
      </c>
      <c r="F294" s="61">
        <v>2083</v>
      </c>
      <c r="G294" s="52">
        <f>C294*F294*3.17*12</f>
        <v>316949.27999999997</v>
      </c>
      <c r="H294" s="52">
        <f>C294*F294*1.58*1.75*12</f>
        <v>276455.76</v>
      </c>
      <c r="I294" s="52">
        <f>C294*F294*0.19*12</f>
        <v>18996.96</v>
      </c>
      <c r="J294" s="52">
        <f>G294+H294+I294</f>
        <v>612402</v>
      </c>
      <c r="K294" s="60">
        <f>J294*$K$9</f>
        <v>144465.6318</v>
      </c>
      <c r="L294" s="52"/>
      <c r="M294" s="56"/>
      <c r="N294" s="50"/>
      <c r="O294" s="50"/>
      <c r="P294" s="50"/>
      <c r="Q294" s="49"/>
      <c r="R294" s="48"/>
    </row>
    <row r="295" spans="1:30" x14ac:dyDescent="0.3">
      <c r="A295" s="62" t="s">
        <v>72</v>
      </c>
      <c r="B295" s="59">
        <f>4.75*C295</f>
        <v>19</v>
      </c>
      <c r="C295" s="59">
        <f>C294</f>
        <v>4</v>
      </c>
      <c r="D295" s="42"/>
      <c r="E295" s="42"/>
      <c r="F295" s="61">
        <v>1303</v>
      </c>
      <c r="G295" s="52">
        <f>C295*F295*3.17*12</f>
        <v>198264.48</v>
      </c>
      <c r="H295" s="52">
        <f>C295*F295*1.58*1.75*12</f>
        <v>172934.16000000003</v>
      </c>
      <c r="I295" s="52">
        <f>C295*F295*0.19*12</f>
        <v>11883.36</v>
      </c>
      <c r="J295" s="52">
        <f>G295+H295+I295</f>
        <v>383082</v>
      </c>
      <c r="K295" s="60">
        <f>J295*$K$9</f>
        <v>90369.043799999999</v>
      </c>
      <c r="L295" s="52"/>
      <c r="M295" s="56"/>
      <c r="N295" s="50"/>
      <c r="O295" s="50"/>
      <c r="P295" s="50"/>
      <c r="Q295" s="49"/>
      <c r="R295" s="48"/>
    </row>
    <row r="296" spans="1:30" x14ac:dyDescent="0.3">
      <c r="A296" s="58" t="s">
        <v>214</v>
      </c>
      <c r="B296" s="59"/>
      <c r="C296" s="59"/>
      <c r="D296" s="54">
        <v>1</v>
      </c>
      <c r="E296" s="42">
        <f>D296*$F$5</f>
        <v>17991</v>
      </c>
      <c r="F296" s="55"/>
      <c r="G296" s="52"/>
      <c r="H296" s="52"/>
      <c r="I296" s="52"/>
      <c r="J296" s="52"/>
      <c r="K296" s="52"/>
      <c r="L296" s="50">
        <f>$D296*$B$5</f>
        <v>7854</v>
      </c>
      <c r="M296" s="56"/>
      <c r="N296" s="50">
        <f>$D296*$C$5</f>
        <v>7822</v>
      </c>
      <c r="O296" s="50">
        <f>$D296*$D$5</f>
        <v>874</v>
      </c>
      <c r="P296" s="50">
        <f>$D296*$E$5</f>
        <v>1441</v>
      </c>
      <c r="Q296" s="49"/>
      <c r="R296" s="48"/>
    </row>
    <row r="297" spans="1:30" x14ac:dyDescent="0.3">
      <c r="A297" s="53" t="s">
        <v>213</v>
      </c>
      <c r="B297" s="59"/>
      <c r="C297" s="59"/>
      <c r="D297" s="54">
        <v>1</v>
      </c>
      <c r="E297" s="42">
        <f>D297*$F$5</f>
        <v>17991</v>
      </c>
      <c r="F297" s="55"/>
      <c r="G297" s="52"/>
      <c r="H297" s="52"/>
      <c r="I297" s="52"/>
      <c r="J297" s="52"/>
      <c r="K297" s="52"/>
      <c r="L297" s="50">
        <f>$D297*$B$5</f>
        <v>7854</v>
      </c>
      <c r="M297" s="56"/>
      <c r="N297" s="50">
        <f>$D297*$C$5</f>
        <v>7822</v>
      </c>
      <c r="O297" s="50">
        <f>$D297*$D$5</f>
        <v>874</v>
      </c>
      <c r="P297" s="50">
        <f>$D297*$E$5</f>
        <v>1441</v>
      </c>
      <c r="Q297" s="49"/>
      <c r="R297" s="48"/>
    </row>
    <row r="298" spans="1:30" x14ac:dyDescent="0.3">
      <c r="A298" s="58" t="s">
        <v>212</v>
      </c>
      <c r="B298" s="57"/>
      <c r="C298" s="55"/>
      <c r="D298" s="54">
        <v>1</v>
      </c>
      <c r="E298" s="42">
        <f>D298*$F$6</f>
        <v>11402</v>
      </c>
      <c r="F298" s="53"/>
      <c r="G298" s="52"/>
      <c r="H298" s="52"/>
      <c r="I298" s="52"/>
      <c r="J298" s="52"/>
      <c r="K298" s="51"/>
      <c r="L298" s="50">
        <f>$D298*$B$6</f>
        <v>1265</v>
      </c>
      <c r="M298" s="56"/>
      <c r="N298" s="50">
        <f>$D298*$C$6</f>
        <v>7822</v>
      </c>
      <c r="O298" s="50">
        <f>$D298*$D$6</f>
        <v>874</v>
      </c>
      <c r="P298" s="50">
        <f>$D298*$E$6</f>
        <v>1441</v>
      </c>
      <c r="Q298" s="49"/>
      <c r="R298" s="48"/>
    </row>
    <row r="299" spans="1:30" x14ac:dyDescent="0.3">
      <c r="A299" s="53" t="s">
        <v>211</v>
      </c>
      <c r="B299" s="55"/>
      <c r="C299" s="55"/>
      <c r="D299" s="54">
        <v>1</v>
      </c>
      <c r="E299" s="42">
        <f>D299*$F$6</f>
        <v>11402</v>
      </c>
      <c r="F299" s="53"/>
      <c r="G299" s="52"/>
      <c r="H299" s="52"/>
      <c r="I299" s="52"/>
      <c r="J299" s="52"/>
      <c r="K299" s="51"/>
      <c r="L299" s="50">
        <f>$D299*$B$6</f>
        <v>1265</v>
      </c>
      <c r="N299" s="50">
        <f>$D299*$C$6</f>
        <v>7822</v>
      </c>
      <c r="O299" s="50">
        <f>$D299*$D$6</f>
        <v>874</v>
      </c>
      <c r="P299" s="50">
        <f>$D299*$E$6</f>
        <v>1441</v>
      </c>
      <c r="Q299" s="49"/>
      <c r="R299" s="48"/>
    </row>
    <row r="300" spans="1:30" s="43" customFormat="1" x14ac:dyDescent="0.3">
      <c r="A300" s="41" t="s">
        <v>193</v>
      </c>
      <c r="C300" s="40">
        <f>C13+C46+C29+C55+C78+C122+C100+C89+C111+C159+C168+C211+C186+C202+C218+C133+C177+C195+C150+C262+C256+C266+C271+C250+C289+C142+C225+C230+C235+C240+C245+C293+C277+C281+C285</f>
        <v>0</v>
      </c>
      <c r="D300" s="47">
        <f>SUM(D14:D299)</f>
        <v>231</v>
      </c>
      <c r="E300" s="39">
        <f>E14+E47+E30+E56+E67+E79+E123+E101+E90+E112+E160+E169+E212+E187+E203+E219+E134+E178+E196+E151+E263+E257+E267+E272+E251+E290+E143+E226+E231+E236+E241+E246+E277+E282+E286+E294</f>
        <v>3539790</v>
      </c>
      <c r="F300" s="46"/>
      <c r="G300" s="46"/>
      <c r="H300" s="46"/>
      <c r="I300" s="46"/>
      <c r="J300" s="45">
        <f t="shared" ref="J300:R300" si="5">J13+J46+J29+J55+J66+J78+J122+J100+J89+J111+J159+J168+J211+J186+J202+J218+J133+J177+J195+J150+J262+J256+J266+J271+J250+J289+J142+J225+J230+J235+J240+J245+J293+J277+J281+J285</f>
        <v>57418331</v>
      </c>
      <c r="K300" s="45">
        <f t="shared" si="5"/>
        <v>13544984</v>
      </c>
      <c r="L300" s="45">
        <f t="shared" si="5"/>
        <v>1208549</v>
      </c>
      <c r="M300" s="45">
        <f t="shared" si="5"/>
        <v>96229</v>
      </c>
      <c r="N300" s="45">
        <f t="shared" si="5"/>
        <v>1806882</v>
      </c>
      <c r="O300" s="45">
        <f t="shared" si="5"/>
        <v>201894</v>
      </c>
      <c r="P300" s="45">
        <f t="shared" si="5"/>
        <v>332871</v>
      </c>
      <c r="Q300" s="45">
        <f t="shared" si="5"/>
        <v>0</v>
      </c>
      <c r="R300" s="44">
        <f t="shared" si="5"/>
        <v>74609740</v>
      </c>
      <c r="S300" s="34"/>
      <c r="T300" s="44">
        <v>66221066</v>
      </c>
      <c r="U300" s="44">
        <v>1746894</v>
      </c>
      <c r="V300" s="44">
        <v>1874973</v>
      </c>
      <c r="W300" s="44">
        <v>69842933</v>
      </c>
      <c r="X300" s="34"/>
      <c r="Y300" s="34"/>
      <c r="Z300" s="34"/>
      <c r="AA300" s="34"/>
      <c r="AB300" s="34"/>
      <c r="AC300" s="34"/>
      <c r="AD300" s="34"/>
    </row>
    <row r="301" spans="1:30" s="36" customFormat="1" x14ac:dyDescent="0.3">
      <c r="A301" s="41" t="s">
        <v>210</v>
      </c>
      <c r="B301" s="39">
        <f>B14+B47+B30+B56+B67+B79+B123+B101+B90+B112+B160+B169+B212+B187+B203+B219+B134+B178+B196+B151+B263+B257+B267+B272+B251+B290+B143+B226+B231+B236+B241+B246+B294+B278+B282+B286</f>
        <v>1097.25</v>
      </c>
      <c r="C301" s="40">
        <f>C14+C47+C30+C56+C67+C79+C123+C101+C90+C112+C160+C169+C212+C187+C203+C219+C134+C178+C196+C151+C263+C257+C267+C272+C251+C290+C143+C226+C231+C236+C241+C246+C294+C278+C282+C286</f>
        <v>231</v>
      </c>
      <c r="D301" s="38"/>
      <c r="E301" s="42"/>
      <c r="F301" s="38"/>
      <c r="G301" s="39">
        <f t="shared" ref="G301:J302" si="6">G14+G47+G30+G56+G67+G79+G123+G101+G90+G112+G160+G169+G212+G187+G203+G219+G134+G178+G196+G151+G226+G231+G236+G241+G246++G278+G263+G257+G267+G272+G251+G290+G143+G282+G286+G294</f>
        <v>18303820.920000009</v>
      </c>
      <c r="H301" s="39">
        <f t="shared" si="6"/>
        <v>15965320.140000006</v>
      </c>
      <c r="I301" s="39">
        <f t="shared" si="6"/>
        <v>1097074.4399999992</v>
      </c>
      <c r="J301" s="39">
        <f t="shared" si="6"/>
        <v>35366215.5</v>
      </c>
      <c r="K301" s="38"/>
      <c r="L301" s="38"/>
      <c r="M301" s="38"/>
      <c r="N301" s="38"/>
      <c r="O301" s="38"/>
      <c r="P301" s="38"/>
      <c r="Q301" s="38"/>
      <c r="R301" s="37"/>
      <c r="S301" s="34"/>
      <c r="T301" s="35"/>
      <c r="U301" s="35"/>
      <c r="V301" s="35"/>
      <c r="W301" s="35"/>
      <c r="X301" s="34"/>
      <c r="Y301" s="34"/>
      <c r="Z301" s="34"/>
      <c r="AA301" s="34"/>
      <c r="AB301" s="34"/>
      <c r="AC301" s="34"/>
      <c r="AD301" s="34"/>
    </row>
    <row r="302" spans="1:30" s="36" customFormat="1" x14ac:dyDescent="0.3">
      <c r="A302" s="41" t="s">
        <v>72</v>
      </c>
      <c r="B302" s="39">
        <f>B15+B48+B31+B57+B68+B80+B124+B102+B91+B113+B161+B170+B213+B188+B204+B220+B135+B179+B197+B152+B264+B258+B268+B273+B252+B291+B144+B227+B232+B237+B242+B247+B295+B279+B283+B287</f>
        <v>1088.9850000000001</v>
      </c>
      <c r="C302" s="40">
        <f>C15+C48+C31+C57+C68+C80+C124+C102+C91+C113+C161+C170+C213+C188+C204+C220+C135+C179+C197+C152+C264+C258+C268+C273+C252+C291+C144+C227+C232+C237+C242+C247+C295+C279+C283+C287</f>
        <v>230.26</v>
      </c>
      <c r="D302" s="38"/>
      <c r="E302" s="38"/>
      <c r="F302" s="38"/>
      <c r="G302" s="39">
        <f t="shared" si="6"/>
        <v>11413094.791199999</v>
      </c>
      <c r="H302" s="39">
        <f t="shared" si="6"/>
        <v>9954954.9203999974</v>
      </c>
      <c r="I302" s="39">
        <f t="shared" si="6"/>
        <v>684065.61839999992</v>
      </c>
      <c r="J302" s="39">
        <f t="shared" si="6"/>
        <v>22052115.329999998</v>
      </c>
      <c r="K302" s="38"/>
      <c r="L302" s="38"/>
      <c r="M302" s="38"/>
      <c r="N302" s="38"/>
      <c r="O302" s="38"/>
      <c r="P302" s="38"/>
      <c r="Q302" s="38"/>
      <c r="R302" s="37"/>
      <c r="S302" s="34"/>
      <c r="T302" s="35"/>
      <c r="U302" s="35"/>
      <c r="V302" s="35"/>
      <c r="W302" s="35"/>
      <c r="X302" s="34"/>
      <c r="Y302" s="34"/>
      <c r="Z302" s="34"/>
      <c r="AA302" s="34"/>
      <c r="AB302" s="34"/>
      <c r="AC302" s="34"/>
      <c r="AD302" s="34"/>
    </row>
    <row r="303" spans="1:30" s="36" customFormat="1" ht="12.5" x14ac:dyDescent="0.25">
      <c r="R303" s="35"/>
      <c r="S303" s="34"/>
      <c r="T303" s="35"/>
      <c r="U303" s="35"/>
      <c r="V303" s="35"/>
      <c r="W303" s="35"/>
      <c r="X303" s="34"/>
      <c r="Y303" s="34"/>
      <c r="Z303" s="34"/>
      <c r="AA303" s="34"/>
      <c r="AB303" s="34"/>
      <c r="AC303" s="34"/>
      <c r="AD303" s="34"/>
    </row>
    <row r="304" spans="1:30" s="34" customFormat="1" ht="12.5" x14ac:dyDescent="0.25">
      <c r="R304" s="35"/>
      <c r="T304" s="35"/>
      <c r="U304" s="35"/>
      <c r="V304" s="35"/>
      <c r="W304" s="35"/>
    </row>
    <row r="305" spans="18:23" s="34" customFormat="1" ht="12.5" x14ac:dyDescent="0.25">
      <c r="R305" s="35"/>
      <c r="T305" s="35"/>
      <c r="U305" s="35"/>
      <c r="V305" s="35"/>
      <c r="W305" s="35"/>
    </row>
    <row r="306" spans="18:23" s="34" customFormat="1" ht="12.5" x14ac:dyDescent="0.25">
      <c r="R306" s="35"/>
      <c r="T306" s="35"/>
      <c r="U306" s="35"/>
      <c r="V306" s="35"/>
      <c r="W306" s="35"/>
    </row>
    <row r="307" spans="18:23" s="34" customFormat="1" ht="12.5" x14ac:dyDescent="0.25">
      <c r="R307" s="35"/>
      <c r="T307" s="35"/>
      <c r="U307" s="35"/>
      <c r="V307" s="35"/>
      <c r="W307" s="35"/>
    </row>
    <row r="308" spans="18:23" s="34" customFormat="1" ht="12.5" x14ac:dyDescent="0.25">
      <c r="R308" s="35"/>
      <c r="T308" s="35"/>
      <c r="U308" s="35"/>
      <c r="V308" s="35"/>
      <c r="W308" s="35"/>
    </row>
    <row r="309" spans="18:23" s="34" customFormat="1" ht="12.5" x14ac:dyDescent="0.25">
      <c r="R309" s="35"/>
      <c r="T309" s="35"/>
      <c r="U309" s="35"/>
      <c r="V309" s="35"/>
      <c r="W309" s="35"/>
    </row>
    <row r="310" spans="18:23" s="34" customFormat="1" ht="12.5" x14ac:dyDescent="0.25">
      <c r="R310" s="35"/>
      <c r="T310" s="35"/>
      <c r="U310" s="35"/>
      <c r="V310" s="35"/>
      <c r="W310" s="35"/>
    </row>
    <row r="311" spans="18:23" s="34" customFormat="1" ht="12.5" x14ac:dyDescent="0.25">
      <c r="R311" s="35"/>
      <c r="T311" s="35"/>
      <c r="U311" s="35"/>
      <c r="V311" s="35"/>
      <c r="W311" s="35"/>
    </row>
    <row r="312" spans="18:23" s="34" customFormat="1" ht="12.5" x14ac:dyDescent="0.25">
      <c r="R312" s="35"/>
      <c r="T312" s="35"/>
      <c r="U312" s="35"/>
      <c r="V312" s="35"/>
      <c r="W312" s="35"/>
    </row>
    <row r="313" spans="18:23" s="34" customFormat="1" ht="12.5" x14ac:dyDescent="0.25">
      <c r="R313" s="35"/>
      <c r="T313" s="35"/>
      <c r="U313" s="35"/>
      <c r="V313" s="35"/>
      <c r="W313" s="35"/>
    </row>
  </sheetData>
  <mergeCells count="3">
    <mergeCell ref="F3:F4"/>
    <mergeCell ref="F11:K11"/>
    <mergeCell ref="T11:W11"/>
  </mergeCells>
  <pageMargins left="0.7" right="0.7" top="0.75" bottom="0.75" header="0.3" footer="0.3"/>
  <pageSetup paperSize="9" scale="3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A495F-3443-48A1-B94F-34A4A8F5298E}">
  <sheetPr>
    <tabColor theme="2" tint="-0.249977111117893"/>
  </sheetPr>
  <dimension ref="A1:M58"/>
  <sheetViews>
    <sheetView view="pageBreakPreview" zoomScale="60" zoomScaleNormal="100" workbookViewId="0">
      <selection activeCell="M8" sqref="M8"/>
    </sheetView>
  </sheetViews>
  <sheetFormatPr defaultColWidth="9.1796875" defaultRowHeight="12.5" x14ac:dyDescent="0.25"/>
  <cols>
    <col min="1" max="1" width="31.26953125" style="34" customWidth="1"/>
    <col min="2" max="2" width="17.453125" style="34" customWidth="1"/>
    <col min="3" max="4" width="21.26953125" style="34" customWidth="1"/>
    <col min="5" max="5" width="18.453125" style="34" customWidth="1"/>
    <col min="6" max="6" width="16.1796875" style="34" customWidth="1"/>
    <col min="7" max="8" width="20.26953125" style="34" customWidth="1"/>
    <col min="9" max="9" width="21.26953125" style="34" customWidth="1"/>
    <col min="10" max="12" width="9.1796875" style="34"/>
    <col min="13" max="13" width="14.1796875" style="34" bestFit="1" customWidth="1"/>
    <col min="14" max="16384" width="9.1796875" style="34"/>
  </cols>
  <sheetData>
    <row r="1" spans="1:13" x14ac:dyDescent="0.25">
      <c r="I1" s="34" t="s">
        <v>326</v>
      </c>
    </row>
    <row r="2" spans="1:13" ht="18.5" x14ac:dyDescent="0.45">
      <c r="A2" s="142" t="s">
        <v>314</v>
      </c>
      <c r="B2" s="143"/>
      <c r="C2" s="143"/>
      <c r="D2" s="143"/>
      <c r="E2" s="143"/>
      <c r="F2" s="143"/>
      <c r="G2" s="143"/>
      <c r="H2" s="143"/>
      <c r="I2" s="143"/>
    </row>
    <row r="3" spans="1:13" ht="14.5" x14ac:dyDescent="0.25">
      <c r="A3" s="400" t="s">
        <v>185</v>
      </c>
      <c r="B3" s="400"/>
      <c r="C3" s="400"/>
      <c r="D3" s="400"/>
      <c r="E3" s="400"/>
      <c r="F3" s="400"/>
      <c r="G3" s="400"/>
      <c r="H3" s="400"/>
      <c r="I3" s="400"/>
    </row>
    <row r="4" spans="1:13" s="129" customFormat="1" ht="39" x14ac:dyDescent="0.25">
      <c r="A4" s="27"/>
      <c r="B4" s="144" t="s">
        <v>186</v>
      </c>
      <c r="C4" s="144" t="s">
        <v>187</v>
      </c>
      <c r="D4" s="144" t="s">
        <v>188</v>
      </c>
      <c r="E4" s="28" t="s">
        <v>189</v>
      </c>
      <c r="F4" s="144" t="s">
        <v>190</v>
      </c>
      <c r="G4" s="144" t="s">
        <v>191</v>
      </c>
      <c r="H4" s="144" t="s">
        <v>192</v>
      </c>
      <c r="I4" s="29" t="s">
        <v>193</v>
      </c>
    </row>
    <row r="5" spans="1:13" ht="29" x14ac:dyDescent="0.25">
      <c r="A5" s="128" t="s">
        <v>194</v>
      </c>
      <c r="B5" s="127" t="s">
        <v>195</v>
      </c>
      <c r="C5" s="127" t="s">
        <v>150</v>
      </c>
      <c r="D5" s="126" t="s">
        <v>196</v>
      </c>
      <c r="E5" s="125" t="s">
        <v>197</v>
      </c>
      <c r="F5" s="123" t="s">
        <v>137</v>
      </c>
      <c r="G5" s="124" t="s">
        <v>138</v>
      </c>
      <c r="H5" s="123" t="s">
        <v>198</v>
      </c>
      <c r="I5" s="122" t="s">
        <v>199</v>
      </c>
    </row>
    <row r="6" spans="1:13" ht="13" x14ac:dyDescent="0.3">
      <c r="A6" s="33">
        <v>1</v>
      </c>
      <c r="B6" s="33">
        <v>2</v>
      </c>
      <c r="C6" s="33">
        <v>3</v>
      </c>
      <c r="D6" s="33">
        <v>4</v>
      </c>
      <c r="E6" s="33">
        <v>5</v>
      </c>
      <c r="F6" s="33">
        <v>6</v>
      </c>
      <c r="G6" s="33">
        <v>7</v>
      </c>
      <c r="H6" s="33">
        <v>8</v>
      </c>
      <c r="I6" s="121">
        <v>10</v>
      </c>
    </row>
    <row r="7" spans="1:13" ht="14.5" x14ac:dyDescent="0.35">
      <c r="A7" s="120" t="s">
        <v>17</v>
      </c>
      <c r="B7" s="145">
        <v>5475162</v>
      </c>
      <c r="C7" s="145">
        <v>1291591</v>
      </c>
      <c r="D7" s="145">
        <v>139843</v>
      </c>
      <c r="E7" s="145">
        <v>11844</v>
      </c>
      <c r="F7" s="145">
        <v>172084</v>
      </c>
      <c r="G7" s="145">
        <v>19228</v>
      </c>
      <c r="H7" s="145">
        <v>31702</v>
      </c>
      <c r="I7" s="146">
        <v>7141454</v>
      </c>
      <c r="M7" s="150"/>
    </row>
    <row r="8" spans="1:13" ht="14.5" x14ac:dyDescent="0.35">
      <c r="A8" s="120" t="s">
        <v>6</v>
      </c>
      <c r="B8" s="145">
        <v>6719517</v>
      </c>
      <c r="C8" s="145">
        <v>1585134</v>
      </c>
      <c r="D8" s="145">
        <v>165430</v>
      </c>
      <c r="E8" s="145">
        <v>12586</v>
      </c>
      <c r="F8" s="145">
        <v>211194</v>
      </c>
      <c r="G8" s="145">
        <v>23598</v>
      </c>
      <c r="H8" s="145">
        <v>38907</v>
      </c>
      <c r="I8" s="146">
        <v>8756366</v>
      </c>
      <c r="M8" s="150"/>
    </row>
    <row r="9" spans="1:13" ht="14.5" x14ac:dyDescent="0.35">
      <c r="A9" s="120" t="s">
        <v>20</v>
      </c>
      <c r="B9" s="145">
        <v>3911066</v>
      </c>
      <c r="C9" s="145">
        <v>922620</v>
      </c>
      <c r="D9" s="145">
        <v>72952</v>
      </c>
      <c r="E9" s="145">
        <v>11284</v>
      </c>
      <c r="F9" s="145">
        <v>125152</v>
      </c>
      <c r="G9" s="145">
        <v>13984</v>
      </c>
      <c r="H9" s="145">
        <v>23056</v>
      </c>
      <c r="I9" s="146">
        <v>5080114</v>
      </c>
      <c r="M9" s="150"/>
    </row>
    <row r="10" spans="1:13" ht="14.5" x14ac:dyDescent="0.35">
      <c r="A10" s="120" t="s">
        <v>30</v>
      </c>
      <c r="B10" s="145">
        <v>2488710</v>
      </c>
      <c r="C10" s="145">
        <v>587087</v>
      </c>
      <c r="D10" s="145">
        <v>52184</v>
      </c>
      <c r="E10" s="145">
        <v>4737</v>
      </c>
      <c r="F10" s="145">
        <v>78220</v>
      </c>
      <c r="G10" s="145">
        <v>8740</v>
      </c>
      <c r="H10" s="145">
        <v>14410</v>
      </c>
      <c r="I10" s="146">
        <v>3234088</v>
      </c>
      <c r="M10" s="150"/>
    </row>
    <row r="11" spans="1:13" ht="14.5" x14ac:dyDescent="0.35">
      <c r="A11" s="120" t="s">
        <v>40</v>
      </c>
      <c r="B11" s="145">
        <v>2986452</v>
      </c>
      <c r="C11" s="145">
        <v>704504</v>
      </c>
      <c r="D11" s="145">
        <v>74481</v>
      </c>
      <c r="E11" s="145">
        <v>5239</v>
      </c>
      <c r="F11" s="145">
        <v>93864</v>
      </c>
      <c r="G11" s="145">
        <v>10488</v>
      </c>
      <c r="H11" s="145">
        <v>17292</v>
      </c>
      <c r="I11" s="146">
        <v>3892320</v>
      </c>
      <c r="M11" s="150"/>
    </row>
    <row r="12" spans="1:13" ht="14.5" x14ac:dyDescent="0.35">
      <c r="A12" s="120" t="s">
        <v>315</v>
      </c>
      <c r="B12" s="145">
        <v>2737581</v>
      </c>
      <c r="C12" s="145">
        <v>645795</v>
      </c>
      <c r="D12" s="145">
        <v>66627</v>
      </c>
      <c r="E12" s="145">
        <v>5463</v>
      </c>
      <c r="F12" s="145">
        <v>86042</v>
      </c>
      <c r="G12" s="145">
        <v>9614</v>
      </c>
      <c r="H12" s="145">
        <v>15851</v>
      </c>
      <c r="I12" s="146">
        <v>3566973</v>
      </c>
      <c r="M12" s="150"/>
    </row>
    <row r="13" spans="1:13" ht="14.5" x14ac:dyDescent="0.35">
      <c r="A13" s="120" t="s">
        <v>57</v>
      </c>
      <c r="B13" s="145">
        <v>1990968</v>
      </c>
      <c r="C13" s="145">
        <v>469669</v>
      </c>
      <c r="D13" s="145">
        <v>43065</v>
      </c>
      <c r="E13" s="145">
        <v>4541</v>
      </c>
      <c r="F13" s="145">
        <v>62576</v>
      </c>
      <c r="G13" s="145">
        <v>6992</v>
      </c>
      <c r="H13" s="145">
        <v>11528</v>
      </c>
      <c r="I13" s="146">
        <v>2589339</v>
      </c>
      <c r="M13" s="150"/>
    </row>
    <row r="14" spans="1:13" ht="14.5" x14ac:dyDescent="0.35">
      <c r="A14" s="120" t="s">
        <v>49</v>
      </c>
      <c r="B14" s="145">
        <v>2239839</v>
      </c>
      <c r="C14" s="145">
        <v>528378</v>
      </c>
      <c r="D14" s="145">
        <v>44330</v>
      </c>
      <c r="E14" s="145">
        <v>4028</v>
      </c>
      <c r="F14" s="145">
        <v>70398</v>
      </c>
      <c r="G14" s="145">
        <v>7866</v>
      </c>
      <c r="H14" s="145">
        <v>12969</v>
      </c>
      <c r="I14" s="146">
        <v>2907808</v>
      </c>
      <c r="M14" s="150"/>
    </row>
    <row r="15" spans="1:13" ht="14.5" x14ac:dyDescent="0.35">
      <c r="A15" s="120" t="s">
        <v>60</v>
      </c>
      <c r="B15" s="145">
        <v>2239839</v>
      </c>
      <c r="C15" s="145">
        <v>528378</v>
      </c>
      <c r="D15" s="145">
        <v>44330</v>
      </c>
      <c r="E15" s="145">
        <v>1949</v>
      </c>
      <c r="F15" s="145">
        <v>70398</v>
      </c>
      <c r="G15" s="145">
        <v>7866</v>
      </c>
      <c r="H15" s="145">
        <v>12969</v>
      </c>
      <c r="I15" s="146">
        <v>2905729</v>
      </c>
      <c r="M15" s="150"/>
    </row>
    <row r="16" spans="1:13" ht="14.5" x14ac:dyDescent="0.35">
      <c r="A16" s="120" t="s">
        <v>43</v>
      </c>
      <c r="B16" s="145">
        <v>1990968</v>
      </c>
      <c r="C16" s="145">
        <v>469669</v>
      </c>
      <c r="D16" s="145">
        <v>43065</v>
      </c>
      <c r="E16" s="145">
        <v>2986</v>
      </c>
      <c r="F16" s="145">
        <v>62576</v>
      </c>
      <c r="G16" s="145">
        <v>6992</v>
      </c>
      <c r="H16" s="145">
        <v>11528</v>
      </c>
      <c r="I16" s="146">
        <v>2587784</v>
      </c>
      <c r="M16" s="150"/>
    </row>
    <row r="17" spans="1:13" ht="14.5" x14ac:dyDescent="0.35">
      <c r="A17" s="120" t="s">
        <v>52</v>
      </c>
      <c r="B17" s="145">
        <v>1493226</v>
      </c>
      <c r="C17" s="145">
        <v>352252</v>
      </c>
      <c r="D17" s="145">
        <v>27357</v>
      </c>
      <c r="E17" s="145">
        <v>1270</v>
      </c>
      <c r="F17" s="145">
        <v>46932</v>
      </c>
      <c r="G17" s="145">
        <v>5244</v>
      </c>
      <c r="H17" s="145">
        <v>8646</v>
      </c>
      <c r="I17" s="146">
        <v>1934927</v>
      </c>
      <c r="M17" s="150"/>
    </row>
    <row r="18" spans="1:13" ht="14.5" x14ac:dyDescent="0.35">
      <c r="A18" s="120" t="s">
        <v>50</v>
      </c>
      <c r="B18" s="145">
        <v>1244355</v>
      </c>
      <c r="C18" s="145">
        <v>293543</v>
      </c>
      <c r="D18" s="145">
        <v>26031</v>
      </c>
      <c r="E18" s="145">
        <v>1927</v>
      </c>
      <c r="F18" s="145">
        <v>39110</v>
      </c>
      <c r="G18" s="145">
        <v>4370</v>
      </c>
      <c r="H18" s="145">
        <v>7205</v>
      </c>
      <c r="I18" s="146">
        <v>1616541</v>
      </c>
      <c r="M18" s="150"/>
    </row>
    <row r="19" spans="1:13" ht="14.5" x14ac:dyDescent="0.35">
      <c r="A19" s="120" t="s">
        <v>316</v>
      </c>
      <c r="B19" s="145">
        <v>1493226</v>
      </c>
      <c r="C19" s="145">
        <v>352252</v>
      </c>
      <c r="D19" s="145">
        <v>27357</v>
      </c>
      <c r="E19" s="145">
        <v>877</v>
      </c>
      <c r="F19" s="145">
        <v>46932</v>
      </c>
      <c r="G19" s="145">
        <v>5244</v>
      </c>
      <c r="H19" s="145">
        <v>8646</v>
      </c>
      <c r="I19" s="146">
        <v>1934534</v>
      </c>
      <c r="M19" s="150"/>
    </row>
    <row r="20" spans="1:13" ht="14.5" x14ac:dyDescent="0.35">
      <c r="A20" s="120" t="s">
        <v>23</v>
      </c>
      <c r="B20" s="145">
        <v>1493226</v>
      </c>
      <c r="C20" s="145">
        <v>352252</v>
      </c>
      <c r="D20" s="145">
        <v>27357</v>
      </c>
      <c r="E20" s="145">
        <v>1540</v>
      </c>
      <c r="F20" s="145">
        <v>46932</v>
      </c>
      <c r="G20" s="145">
        <v>5244</v>
      </c>
      <c r="H20" s="145">
        <v>8646</v>
      </c>
      <c r="I20" s="146">
        <v>1935197</v>
      </c>
      <c r="M20" s="150"/>
    </row>
    <row r="21" spans="1:13" ht="14.5" x14ac:dyDescent="0.35">
      <c r="A21" s="120" t="s">
        <v>55</v>
      </c>
      <c r="B21" s="145">
        <v>1493226</v>
      </c>
      <c r="C21" s="145">
        <v>352252</v>
      </c>
      <c r="D21" s="145">
        <v>27357</v>
      </c>
      <c r="E21" s="145">
        <v>1546</v>
      </c>
      <c r="F21" s="145">
        <v>46932</v>
      </c>
      <c r="G21" s="145">
        <v>5244</v>
      </c>
      <c r="H21" s="145">
        <v>8646</v>
      </c>
      <c r="I21" s="146">
        <v>1935203</v>
      </c>
      <c r="M21" s="150"/>
    </row>
    <row r="22" spans="1:13" ht="14.5" x14ac:dyDescent="0.35">
      <c r="A22" s="120" t="s">
        <v>46</v>
      </c>
      <c r="B22" s="145">
        <v>1493226</v>
      </c>
      <c r="C22" s="145">
        <v>352252</v>
      </c>
      <c r="D22" s="145">
        <v>27357</v>
      </c>
      <c r="E22" s="145">
        <v>1079</v>
      </c>
      <c r="F22" s="145">
        <v>46932</v>
      </c>
      <c r="G22" s="145">
        <v>5244</v>
      </c>
      <c r="H22" s="145">
        <v>8646</v>
      </c>
      <c r="I22" s="146">
        <v>1934736</v>
      </c>
      <c r="M22" s="150"/>
    </row>
    <row r="23" spans="1:13" ht="14.5" x14ac:dyDescent="0.35">
      <c r="A23" s="120" t="s">
        <v>32</v>
      </c>
      <c r="B23" s="145">
        <v>1493226</v>
      </c>
      <c r="C23" s="145">
        <v>352252</v>
      </c>
      <c r="D23" s="145">
        <v>27357</v>
      </c>
      <c r="E23" s="145">
        <v>1732</v>
      </c>
      <c r="F23" s="145">
        <v>46932</v>
      </c>
      <c r="G23" s="145">
        <v>5244</v>
      </c>
      <c r="H23" s="145">
        <v>8646</v>
      </c>
      <c r="I23" s="146">
        <v>1935389</v>
      </c>
      <c r="M23" s="150"/>
    </row>
    <row r="24" spans="1:13" ht="14.5" x14ac:dyDescent="0.35">
      <c r="A24" s="120" t="s">
        <v>54</v>
      </c>
      <c r="B24" s="145">
        <v>995484</v>
      </c>
      <c r="C24" s="145">
        <v>234835</v>
      </c>
      <c r="D24" s="145">
        <v>24827</v>
      </c>
      <c r="E24" s="145">
        <v>769</v>
      </c>
      <c r="F24" s="145">
        <v>31288</v>
      </c>
      <c r="G24" s="145">
        <v>3496</v>
      </c>
      <c r="H24" s="145">
        <v>5764</v>
      </c>
      <c r="I24" s="146">
        <v>1296463</v>
      </c>
      <c r="M24" s="150"/>
    </row>
    <row r="25" spans="1:13" ht="14.5" x14ac:dyDescent="0.35">
      <c r="A25" s="120" t="s">
        <v>42</v>
      </c>
      <c r="B25" s="145">
        <v>1493226</v>
      </c>
      <c r="C25" s="145">
        <v>352252</v>
      </c>
      <c r="D25" s="145">
        <v>27357</v>
      </c>
      <c r="E25" s="145">
        <v>384</v>
      </c>
      <c r="F25" s="145">
        <v>46932</v>
      </c>
      <c r="G25" s="145">
        <v>5244</v>
      </c>
      <c r="H25" s="145">
        <v>8646</v>
      </c>
      <c r="I25" s="146">
        <v>1934041</v>
      </c>
      <c r="M25" s="150"/>
    </row>
    <row r="26" spans="1:13" ht="14.5" x14ac:dyDescent="0.35">
      <c r="A26" s="120" t="s">
        <v>38</v>
      </c>
      <c r="B26" s="145">
        <v>995484</v>
      </c>
      <c r="C26" s="145">
        <v>234835</v>
      </c>
      <c r="D26" s="145">
        <v>24827</v>
      </c>
      <c r="E26" s="145">
        <v>1443</v>
      </c>
      <c r="F26" s="145">
        <v>31288</v>
      </c>
      <c r="G26" s="145">
        <v>3496</v>
      </c>
      <c r="H26" s="145">
        <v>5764</v>
      </c>
      <c r="I26" s="146">
        <v>1297137</v>
      </c>
      <c r="M26" s="150"/>
    </row>
    <row r="27" spans="1:13" ht="14.5" x14ac:dyDescent="0.35">
      <c r="A27" s="120" t="s">
        <v>41</v>
      </c>
      <c r="B27" s="145">
        <v>995484</v>
      </c>
      <c r="C27" s="145">
        <v>234835</v>
      </c>
      <c r="D27" s="145">
        <v>24827</v>
      </c>
      <c r="E27" s="145">
        <v>315</v>
      </c>
      <c r="F27" s="145">
        <v>31288</v>
      </c>
      <c r="G27" s="145">
        <v>3496</v>
      </c>
      <c r="H27" s="145">
        <v>5764</v>
      </c>
      <c r="I27" s="146">
        <v>1296009</v>
      </c>
      <c r="M27" s="150"/>
    </row>
    <row r="28" spans="1:13" ht="14.5" x14ac:dyDescent="0.35">
      <c r="A28" s="120" t="s">
        <v>44</v>
      </c>
      <c r="B28" s="145">
        <v>497742</v>
      </c>
      <c r="C28" s="145">
        <v>117417</v>
      </c>
      <c r="D28" s="145">
        <v>15708</v>
      </c>
      <c r="E28" s="145">
        <v>397</v>
      </c>
      <c r="F28" s="145">
        <v>15644</v>
      </c>
      <c r="G28" s="145">
        <v>1748</v>
      </c>
      <c r="H28" s="145">
        <v>2882</v>
      </c>
      <c r="I28" s="146">
        <v>651538</v>
      </c>
      <c r="M28" s="150"/>
    </row>
    <row r="29" spans="1:13" ht="14.5" x14ac:dyDescent="0.35">
      <c r="A29" s="120" t="s">
        <v>61</v>
      </c>
      <c r="B29" s="145">
        <v>497742</v>
      </c>
      <c r="C29" s="145">
        <v>117417</v>
      </c>
      <c r="D29" s="145">
        <v>15708</v>
      </c>
      <c r="E29" s="145">
        <v>1429</v>
      </c>
      <c r="F29" s="145">
        <v>15644</v>
      </c>
      <c r="G29" s="145">
        <v>1748</v>
      </c>
      <c r="H29" s="145">
        <v>2882</v>
      </c>
      <c r="I29" s="146">
        <v>652570</v>
      </c>
      <c r="M29" s="150"/>
    </row>
    <row r="30" spans="1:13" ht="14.5" x14ac:dyDescent="0.35">
      <c r="A30" s="120" t="s">
        <v>59</v>
      </c>
      <c r="B30" s="145">
        <v>497742</v>
      </c>
      <c r="C30" s="145">
        <v>117417</v>
      </c>
      <c r="D30" s="145">
        <v>15708</v>
      </c>
      <c r="E30" s="145">
        <v>1321</v>
      </c>
      <c r="F30" s="145">
        <v>15644</v>
      </c>
      <c r="G30" s="145">
        <v>1748</v>
      </c>
      <c r="H30" s="145">
        <v>2882</v>
      </c>
      <c r="I30" s="146">
        <v>652462</v>
      </c>
      <c r="M30" s="150"/>
    </row>
    <row r="31" spans="1:13" ht="14.5" x14ac:dyDescent="0.35">
      <c r="A31" s="120" t="s">
        <v>51</v>
      </c>
      <c r="B31" s="145">
        <v>497742</v>
      </c>
      <c r="C31" s="145">
        <v>117417</v>
      </c>
      <c r="D31" s="145">
        <v>15708</v>
      </c>
      <c r="E31" s="145">
        <v>1573</v>
      </c>
      <c r="F31" s="145">
        <v>15644</v>
      </c>
      <c r="G31" s="145">
        <v>1748</v>
      </c>
      <c r="H31" s="145">
        <v>2882</v>
      </c>
      <c r="I31" s="146">
        <v>652714</v>
      </c>
      <c r="M31" s="150"/>
    </row>
    <row r="32" spans="1:13" ht="14.5" x14ac:dyDescent="0.35">
      <c r="A32" s="120" t="s">
        <v>317</v>
      </c>
      <c r="B32" s="145">
        <v>497742</v>
      </c>
      <c r="C32" s="145">
        <v>117417</v>
      </c>
      <c r="D32" s="145">
        <v>15708</v>
      </c>
      <c r="E32" s="145">
        <v>764</v>
      </c>
      <c r="F32" s="145">
        <v>15644</v>
      </c>
      <c r="G32" s="145">
        <v>1748</v>
      </c>
      <c r="H32" s="145">
        <v>2882</v>
      </c>
      <c r="I32" s="146">
        <v>651905</v>
      </c>
      <c r="M32" s="150"/>
    </row>
    <row r="33" spans="1:13" ht="14.5" x14ac:dyDescent="0.35">
      <c r="A33" s="120" t="s">
        <v>79</v>
      </c>
      <c r="B33" s="145">
        <v>995484</v>
      </c>
      <c r="C33" s="145">
        <v>234835</v>
      </c>
      <c r="D33" s="145">
        <v>24827</v>
      </c>
      <c r="E33" s="145">
        <v>6387</v>
      </c>
      <c r="F33" s="145">
        <v>31288</v>
      </c>
      <c r="G33" s="145">
        <v>3496</v>
      </c>
      <c r="H33" s="145">
        <v>5764</v>
      </c>
      <c r="I33" s="146">
        <v>1302081</v>
      </c>
      <c r="M33" s="150"/>
    </row>
    <row r="34" spans="1:13" ht="14.5" x14ac:dyDescent="0.35">
      <c r="A34" s="120" t="s">
        <v>78</v>
      </c>
      <c r="B34" s="145">
        <v>2986452</v>
      </c>
      <c r="C34" s="145">
        <v>704504</v>
      </c>
      <c r="D34" s="145">
        <v>21769</v>
      </c>
      <c r="E34" s="145">
        <v>580</v>
      </c>
      <c r="F34" s="145">
        <v>93864</v>
      </c>
      <c r="G34" s="145">
        <v>10488</v>
      </c>
      <c r="H34" s="145">
        <v>17292</v>
      </c>
      <c r="I34" s="146">
        <v>3834949</v>
      </c>
      <c r="M34" s="150"/>
    </row>
    <row r="35" spans="1:13" ht="14.5" x14ac:dyDescent="0.35">
      <c r="A35" s="120" t="s">
        <v>313</v>
      </c>
      <c r="B35" s="145">
        <v>248871</v>
      </c>
      <c r="C35" s="145">
        <v>58709</v>
      </c>
      <c r="D35" s="145">
        <v>7854</v>
      </c>
      <c r="E35" s="145">
        <v>122</v>
      </c>
      <c r="F35" s="145">
        <v>7822</v>
      </c>
      <c r="G35" s="145">
        <v>874</v>
      </c>
      <c r="H35" s="145">
        <v>1441</v>
      </c>
      <c r="I35" s="146">
        <v>325693</v>
      </c>
      <c r="M35" s="150"/>
    </row>
    <row r="36" spans="1:13" ht="14.5" x14ac:dyDescent="0.35">
      <c r="A36" s="147" t="s">
        <v>312</v>
      </c>
      <c r="B36" s="145">
        <v>497742</v>
      </c>
      <c r="C36" s="145">
        <v>117417</v>
      </c>
      <c r="D36" s="145">
        <v>710</v>
      </c>
      <c r="E36" s="145">
        <v>249</v>
      </c>
      <c r="F36" s="145">
        <v>15644</v>
      </c>
      <c r="G36" s="145">
        <v>1748</v>
      </c>
      <c r="H36" s="145">
        <v>2882</v>
      </c>
      <c r="I36" s="146">
        <v>636392</v>
      </c>
      <c r="M36" s="150"/>
    </row>
    <row r="37" spans="1:13" ht="14.5" x14ac:dyDescent="0.35">
      <c r="A37" s="120" t="s">
        <v>200</v>
      </c>
      <c r="B37" s="145">
        <v>746613</v>
      </c>
      <c r="C37" s="145">
        <v>176126</v>
      </c>
      <c r="D37" s="145">
        <v>16973</v>
      </c>
      <c r="E37" s="145">
        <v>3730</v>
      </c>
      <c r="F37" s="145">
        <v>23466</v>
      </c>
      <c r="G37" s="145">
        <v>2622</v>
      </c>
      <c r="H37" s="145">
        <v>4323</v>
      </c>
      <c r="I37" s="146">
        <v>973853</v>
      </c>
      <c r="M37" s="150"/>
    </row>
    <row r="38" spans="1:13" ht="14.5" x14ac:dyDescent="0.35">
      <c r="A38" s="120" t="s">
        <v>311</v>
      </c>
      <c r="B38" s="145">
        <v>248871</v>
      </c>
      <c r="C38" s="145">
        <v>58709</v>
      </c>
      <c r="D38" s="145">
        <v>330</v>
      </c>
      <c r="E38" s="145">
        <v>230</v>
      </c>
      <c r="F38" s="145">
        <v>7822</v>
      </c>
      <c r="G38" s="145">
        <v>874</v>
      </c>
      <c r="H38" s="145">
        <v>1441</v>
      </c>
      <c r="I38" s="146">
        <v>318277</v>
      </c>
      <c r="M38" s="150"/>
    </row>
    <row r="39" spans="1:13" ht="14.5" x14ac:dyDescent="0.35">
      <c r="A39" s="147" t="s">
        <v>310</v>
      </c>
      <c r="B39" s="145">
        <v>248871</v>
      </c>
      <c r="C39" s="145">
        <v>58709</v>
      </c>
      <c r="D39" s="145">
        <v>330</v>
      </c>
      <c r="E39" s="145">
        <v>139</v>
      </c>
      <c r="F39" s="145">
        <v>7822</v>
      </c>
      <c r="G39" s="145">
        <v>874</v>
      </c>
      <c r="H39" s="145">
        <v>1441</v>
      </c>
      <c r="I39" s="146">
        <v>318186</v>
      </c>
      <c r="M39" s="150"/>
    </row>
    <row r="40" spans="1:13" ht="14.5" x14ac:dyDescent="0.35">
      <c r="A40" s="148" t="s">
        <v>309</v>
      </c>
      <c r="B40" s="145">
        <v>248871</v>
      </c>
      <c r="C40" s="145">
        <v>58709</v>
      </c>
      <c r="D40" s="145">
        <v>330</v>
      </c>
      <c r="E40" s="145">
        <v>59</v>
      </c>
      <c r="F40" s="145">
        <v>7822</v>
      </c>
      <c r="G40" s="145">
        <v>874</v>
      </c>
      <c r="H40" s="145">
        <v>1441</v>
      </c>
      <c r="I40" s="146">
        <v>318106</v>
      </c>
      <c r="M40" s="150"/>
    </row>
    <row r="41" spans="1:13" ht="14.5" x14ac:dyDescent="0.35">
      <c r="A41" s="119" t="s">
        <v>308</v>
      </c>
      <c r="B41" s="145">
        <v>248871</v>
      </c>
      <c r="C41" s="145">
        <v>58709</v>
      </c>
      <c r="D41" s="145">
        <v>330</v>
      </c>
      <c r="E41" s="145">
        <v>0</v>
      </c>
      <c r="F41" s="145">
        <v>7822</v>
      </c>
      <c r="G41" s="145">
        <v>874</v>
      </c>
      <c r="H41" s="145">
        <v>1441</v>
      </c>
      <c r="I41" s="146">
        <v>318047</v>
      </c>
      <c r="M41" s="150"/>
    </row>
    <row r="42" spans="1:13" ht="14.5" x14ac:dyDescent="0.35">
      <c r="A42" s="119" t="s">
        <v>28</v>
      </c>
      <c r="B42" s="145">
        <v>995484</v>
      </c>
      <c r="C42" s="145">
        <v>234835</v>
      </c>
      <c r="D42" s="145">
        <v>18238</v>
      </c>
      <c r="E42" s="145">
        <v>1710</v>
      </c>
      <c r="F42" s="145">
        <v>31288</v>
      </c>
      <c r="G42" s="145">
        <v>3496</v>
      </c>
      <c r="H42" s="145">
        <v>5764</v>
      </c>
      <c r="I42" s="146">
        <v>1290815</v>
      </c>
      <c r="M42" s="150"/>
    </row>
    <row r="43" spans="1:13" ht="14" x14ac:dyDescent="0.3">
      <c r="A43" s="149"/>
      <c r="B43" s="149"/>
      <c r="C43" s="149"/>
      <c r="D43" s="149"/>
      <c r="E43" s="149"/>
      <c r="F43" s="149"/>
      <c r="G43" s="149"/>
      <c r="H43" s="149"/>
      <c r="I43" s="149"/>
    </row>
    <row r="44" spans="1:13" ht="14" x14ac:dyDescent="0.3">
      <c r="A44" s="149"/>
      <c r="B44" s="149"/>
      <c r="C44" s="149"/>
      <c r="D44" s="149"/>
      <c r="E44" s="149"/>
      <c r="F44" s="149"/>
      <c r="G44" s="149"/>
      <c r="H44" s="149"/>
      <c r="I44" s="149"/>
    </row>
    <row r="45" spans="1:13" ht="14" x14ac:dyDescent="0.3">
      <c r="A45" s="149"/>
      <c r="B45" s="149"/>
      <c r="C45" s="149"/>
      <c r="D45" s="149"/>
      <c r="E45" s="149"/>
      <c r="F45" s="149"/>
      <c r="G45" s="149"/>
      <c r="H45" s="149"/>
      <c r="I45" s="149"/>
    </row>
    <row r="46" spans="1:13" ht="14" x14ac:dyDescent="0.3">
      <c r="A46" s="149"/>
      <c r="B46" s="149"/>
      <c r="C46" s="149"/>
      <c r="D46" s="149"/>
      <c r="E46" s="149"/>
      <c r="F46" s="149"/>
      <c r="G46" s="149"/>
      <c r="H46" s="149"/>
      <c r="I46" s="149"/>
    </row>
    <row r="47" spans="1:13" ht="14" x14ac:dyDescent="0.3">
      <c r="A47" s="149"/>
      <c r="B47" s="149"/>
      <c r="C47" s="149"/>
      <c r="D47" s="149"/>
      <c r="E47" s="149"/>
      <c r="F47" s="149"/>
      <c r="G47" s="149"/>
      <c r="H47" s="149"/>
      <c r="I47" s="149"/>
    </row>
    <row r="48" spans="1:13" ht="14" x14ac:dyDescent="0.3">
      <c r="A48" s="149"/>
      <c r="B48" s="149"/>
      <c r="C48" s="149"/>
      <c r="D48" s="149"/>
      <c r="E48" s="149"/>
      <c r="F48" s="149"/>
      <c r="G48" s="149"/>
      <c r="H48" s="149"/>
      <c r="I48" s="149"/>
    </row>
    <row r="49" spans="1:9" ht="14" x14ac:dyDescent="0.3">
      <c r="A49" s="149"/>
      <c r="B49" s="149"/>
      <c r="C49" s="149"/>
      <c r="D49" s="149"/>
      <c r="E49" s="149"/>
      <c r="F49" s="149"/>
      <c r="G49" s="149"/>
      <c r="H49" s="149"/>
      <c r="I49" s="149"/>
    </row>
    <row r="50" spans="1:9" ht="14" x14ac:dyDescent="0.3">
      <c r="A50" s="149"/>
      <c r="B50" s="149"/>
      <c r="C50" s="149"/>
      <c r="D50" s="149"/>
      <c r="E50" s="149"/>
      <c r="F50" s="149"/>
      <c r="G50" s="149"/>
      <c r="H50" s="149"/>
      <c r="I50" s="149"/>
    </row>
    <row r="51" spans="1:9" ht="14" x14ac:dyDescent="0.3">
      <c r="A51" s="149"/>
      <c r="B51" s="149"/>
      <c r="C51" s="149"/>
      <c r="D51" s="149"/>
      <c r="E51" s="149"/>
      <c r="F51" s="149"/>
      <c r="G51" s="149"/>
      <c r="H51" s="149"/>
      <c r="I51" s="149"/>
    </row>
    <row r="52" spans="1:9" ht="14" x14ac:dyDescent="0.3">
      <c r="A52" s="149"/>
      <c r="B52" s="149"/>
      <c r="C52" s="149"/>
      <c r="D52" s="149"/>
      <c r="E52" s="149"/>
      <c r="F52" s="149"/>
      <c r="G52" s="149"/>
      <c r="H52" s="149"/>
      <c r="I52" s="149"/>
    </row>
    <row r="53" spans="1:9" ht="14" x14ac:dyDescent="0.3">
      <c r="A53" s="149"/>
      <c r="B53" s="149"/>
      <c r="C53" s="149"/>
      <c r="D53" s="149"/>
      <c r="E53" s="149"/>
      <c r="F53" s="149"/>
      <c r="G53" s="149"/>
      <c r="H53" s="149"/>
      <c r="I53" s="149"/>
    </row>
    <row r="54" spans="1:9" ht="14" x14ac:dyDescent="0.3">
      <c r="A54" s="149"/>
      <c r="B54" s="149"/>
      <c r="C54" s="149"/>
      <c r="D54" s="149"/>
      <c r="E54" s="149"/>
      <c r="F54" s="149"/>
      <c r="G54" s="149"/>
      <c r="H54" s="149"/>
      <c r="I54" s="149"/>
    </row>
    <row r="55" spans="1:9" ht="14" x14ac:dyDescent="0.3">
      <c r="A55" s="149"/>
      <c r="B55" s="149"/>
      <c r="C55" s="149"/>
      <c r="D55" s="149"/>
      <c r="E55" s="149"/>
      <c r="F55" s="149"/>
      <c r="G55" s="149"/>
      <c r="H55" s="149"/>
      <c r="I55" s="149"/>
    </row>
    <row r="56" spans="1:9" ht="14" x14ac:dyDescent="0.3">
      <c r="A56" s="149"/>
      <c r="B56" s="149"/>
      <c r="C56" s="149"/>
      <c r="D56" s="149"/>
      <c r="E56" s="149"/>
      <c r="F56" s="149"/>
      <c r="G56" s="149"/>
      <c r="H56" s="149"/>
      <c r="I56" s="149"/>
    </row>
    <row r="57" spans="1:9" ht="14" x14ac:dyDescent="0.3">
      <c r="A57" s="149"/>
      <c r="B57" s="149"/>
      <c r="C57" s="149"/>
      <c r="D57" s="149"/>
      <c r="E57" s="149"/>
      <c r="F57" s="149"/>
      <c r="G57" s="149"/>
      <c r="H57" s="149"/>
      <c r="I57" s="149"/>
    </row>
    <row r="58" spans="1:9" ht="14" x14ac:dyDescent="0.3">
      <c r="A58" s="149"/>
      <c r="B58" s="149"/>
      <c r="C58" s="149"/>
      <c r="D58" s="149"/>
      <c r="E58" s="149"/>
      <c r="F58" s="149"/>
      <c r="G58" s="149"/>
      <c r="H58" s="149"/>
      <c r="I58" s="149"/>
    </row>
  </sheetData>
  <mergeCells count="1">
    <mergeCell ref="A3:I3"/>
  </mergeCells>
  <pageMargins left="0.7" right="0.7" top="0.75" bottom="0.75" header="0.3" footer="0.3"/>
  <pageSetup paperSize="9" scale="4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KOPSAVILKUMS</vt:lpstr>
      <vt:lpstr>Specialisti - aprekini_jaunais</vt:lpstr>
      <vt:lpstr>Darba algas UZŅEMŠANĀ_jaunais</vt:lpstr>
      <vt:lpstr>2024 uzņemšana elementi</vt:lpstr>
      <vt:lpstr>2023 aprēķins</vt:lpstr>
      <vt:lpstr>2023 uzņemšana elementi</vt:lpstr>
      <vt:lpstr>'Darba algas UZŅEMŠANĀ_jaunais'!Print_Area</vt:lpstr>
      <vt:lpstr>KOPSAVILKUMS!Print_Area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Sanda Osemļjaka</dc:creator>
  <cp:keywords/>
  <dc:description/>
  <cp:lastModifiedBy>Sanda Osemļjaka</cp:lastModifiedBy>
  <cp:revision/>
  <dcterms:created xsi:type="dcterms:W3CDTF">2023-07-18T10:51:48Z</dcterms:created>
  <dcterms:modified xsi:type="dcterms:W3CDTF">2023-08-21T10:09:47Z</dcterms:modified>
  <cp:category/>
  <cp:contentStatus/>
</cp:coreProperties>
</file>