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ustraA\Downloads\"/>
    </mc:Choice>
  </mc:AlternateContent>
  <xr:revisionPtr revIDLastSave="0" documentId="13_ncr:1_{17F5A5E7-990B-452C-BDFC-1978A2F7D3E1}" xr6:coauthVersionLast="47" xr6:coauthVersionMax="47" xr10:uidLastSave="{00000000-0000-0000-0000-000000000000}"/>
  <bookViews>
    <workbookView xWindow="28680" yWindow="-120" windowWidth="29040" windowHeight="15840" xr2:uid="{584151BC-3F1A-42AB-B19F-10973C437F25}"/>
  </bookViews>
  <sheets>
    <sheet name="Tāme melnraksts" sheetId="1" r:id="rId1"/>
  </sheets>
  <definedNames>
    <definedName name="_xlnm.Print_Area" localSheetId="0">'Tāme melnraksts'!$A$3:$J$58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3" i="1" l="1"/>
  <c r="J53" i="1" s="1"/>
  <c r="H53" i="1"/>
  <c r="F53" i="1"/>
  <c r="I52" i="1"/>
  <c r="J52" i="1" s="1"/>
  <c r="H52" i="1"/>
  <c r="F52" i="1"/>
  <c r="I51" i="1"/>
  <c r="J51" i="1" s="1"/>
  <c r="H51" i="1"/>
  <c r="F51" i="1"/>
  <c r="I50" i="1"/>
  <c r="J50" i="1" s="1"/>
  <c r="H50" i="1"/>
  <c r="F50" i="1"/>
  <c r="I47" i="1"/>
  <c r="G47" i="1"/>
  <c r="G46" i="1"/>
  <c r="I46" i="1" s="1"/>
  <c r="J46" i="1" s="1"/>
  <c r="F46" i="1"/>
  <c r="H46" i="1" s="1"/>
  <c r="G45" i="1"/>
  <c r="I45" i="1" s="1"/>
  <c r="J45" i="1" s="1"/>
  <c r="F45" i="1"/>
  <c r="H45" i="1" s="1"/>
  <c r="I43" i="1"/>
  <c r="J43" i="1" s="1"/>
  <c r="J42" i="1" s="1"/>
  <c r="H43" i="1"/>
  <c r="H42" i="1" s="1"/>
  <c r="F43" i="1"/>
  <c r="F42" i="1" s="1"/>
  <c r="H39" i="1"/>
  <c r="D39" i="1"/>
  <c r="F39" i="1" s="1"/>
  <c r="H38" i="1"/>
  <c r="D38" i="1"/>
  <c r="I38" i="1" s="1"/>
  <c r="J38" i="1" s="1"/>
  <c r="G36" i="1"/>
  <c r="H36" i="1" s="1"/>
  <c r="D36" i="1"/>
  <c r="G35" i="1"/>
  <c r="H35" i="1" s="1"/>
  <c r="D35" i="1"/>
  <c r="I34" i="1"/>
  <c r="J34" i="1" s="1"/>
  <c r="H34" i="1"/>
  <c r="F34" i="1"/>
  <c r="G33" i="1"/>
  <c r="H33" i="1" s="1"/>
  <c r="D33" i="1"/>
  <c r="G31" i="1"/>
  <c r="G32" i="1" s="1"/>
  <c r="H32" i="1" s="1"/>
  <c r="D31" i="1"/>
  <c r="F31" i="1" s="1"/>
  <c r="G30" i="1"/>
  <c r="H30" i="1" s="1"/>
  <c r="D30" i="1"/>
  <c r="I29" i="1"/>
  <c r="J29" i="1" s="1"/>
  <c r="H29" i="1"/>
  <c r="F29" i="1"/>
  <c r="I27" i="1"/>
  <c r="J27" i="1" s="1"/>
  <c r="H27" i="1"/>
  <c r="F27" i="1"/>
  <c r="G26" i="1"/>
  <c r="H26" i="1" s="1"/>
  <c r="D26" i="1"/>
  <c r="F26" i="1" s="1"/>
  <c r="G25" i="1"/>
  <c r="H25" i="1" s="1"/>
  <c r="D25" i="1"/>
  <c r="G23" i="1"/>
  <c r="H23" i="1" s="1"/>
  <c r="D23" i="1"/>
  <c r="F23" i="1" s="1"/>
  <c r="G22" i="1"/>
  <c r="D22" i="1"/>
  <c r="F22" i="1" s="1"/>
  <c r="I20" i="1"/>
  <c r="J20" i="1" s="1"/>
  <c r="H20" i="1"/>
  <c r="F20" i="1"/>
  <c r="I19" i="1"/>
  <c r="J19" i="1" s="1"/>
  <c r="H19" i="1"/>
  <c r="F19" i="1"/>
  <c r="H18" i="1"/>
  <c r="D18" i="1"/>
  <c r="F18" i="1" s="1"/>
  <c r="I16" i="1"/>
  <c r="J16" i="1" s="1"/>
  <c r="H16" i="1"/>
  <c r="F16" i="1"/>
  <c r="G15" i="1"/>
  <c r="I15" i="1" s="1"/>
  <c r="J15" i="1" s="1"/>
  <c r="F15" i="1"/>
  <c r="G14" i="1"/>
  <c r="H14" i="1" s="1"/>
  <c r="G13" i="1"/>
  <c r="H13" i="1" s="1"/>
  <c r="D13" i="1"/>
  <c r="F13" i="1" s="1"/>
  <c r="G12" i="1"/>
  <c r="H12" i="1" s="1"/>
  <c r="D12" i="1"/>
  <c r="F12" i="1" s="1"/>
  <c r="I11" i="1"/>
  <c r="J11" i="1" s="1"/>
  <c r="H11" i="1"/>
  <c r="F11" i="1"/>
  <c r="F17" i="1" l="1"/>
  <c r="I30" i="1"/>
  <c r="J30" i="1" s="1"/>
  <c r="D14" i="1"/>
  <c r="F14" i="1" s="1"/>
  <c r="I35" i="1"/>
  <c r="J35" i="1" s="1"/>
  <c r="G24" i="1"/>
  <c r="H24" i="1" s="1"/>
  <c r="H37" i="1"/>
  <c r="I25" i="1"/>
  <c r="J25" i="1" s="1"/>
  <c r="H17" i="1"/>
  <c r="I18" i="1"/>
  <c r="J18" i="1" s="1"/>
  <c r="J17" i="1" s="1"/>
  <c r="F30" i="1"/>
  <c r="H49" i="1"/>
  <c r="H54" i="1" s="1"/>
  <c r="I39" i="1"/>
  <c r="J39" i="1" s="1"/>
  <c r="J37" i="1" s="1"/>
  <c r="F10" i="1"/>
  <c r="H31" i="1"/>
  <c r="H28" i="1" s="1"/>
  <c r="F44" i="1"/>
  <c r="I22" i="1"/>
  <c r="J22" i="1" s="1"/>
  <c r="H22" i="1"/>
  <c r="I13" i="1"/>
  <c r="J13" i="1" s="1"/>
  <c r="I31" i="1"/>
  <c r="J31" i="1" s="1"/>
  <c r="I23" i="1"/>
  <c r="J23" i="1" s="1"/>
  <c r="I26" i="1"/>
  <c r="J26" i="1" s="1"/>
  <c r="D32" i="1"/>
  <c r="I32" i="1" s="1"/>
  <c r="J32" i="1" s="1"/>
  <c r="H44" i="1"/>
  <c r="H47" i="1" s="1"/>
  <c r="F25" i="1"/>
  <c r="F38" i="1"/>
  <c r="F37" i="1" s="1"/>
  <c r="I36" i="1"/>
  <c r="J36" i="1" s="1"/>
  <c r="J44" i="1"/>
  <c r="J47" i="1" s="1"/>
  <c r="F49" i="1"/>
  <c r="F54" i="1" s="1"/>
  <c r="I12" i="1"/>
  <c r="J12" i="1" s="1"/>
  <c r="I33" i="1"/>
  <c r="J33" i="1" s="1"/>
  <c r="F47" i="1"/>
  <c r="J49" i="1"/>
  <c r="J54" i="1" s="1"/>
  <c r="D24" i="1"/>
  <c r="F33" i="1"/>
  <c r="F36" i="1"/>
  <c r="H15" i="1"/>
  <c r="H10" i="1" s="1"/>
  <c r="F35" i="1"/>
  <c r="F32" i="1"/>
  <c r="H21" i="1" l="1"/>
  <c r="H40" i="1" s="1"/>
  <c r="H55" i="1" s="1"/>
  <c r="I14" i="1"/>
  <c r="J14" i="1" s="1"/>
  <c r="J10" i="1"/>
  <c r="J28" i="1"/>
  <c r="F28" i="1"/>
  <c r="F24" i="1"/>
  <c r="F21" i="1" s="1"/>
  <c r="F40" i="1" s="1"/>
  <c r="F55" i="1" s="1"/>
  <c r="I24" i="1"/>
  <c r="J24" i="1" s="1"/>
  <c r="J21" i="1" s="1"/>
  <c r="J40" i="1" l="1"/>
  <c r="J55" i="1" s="1"/>
  <c r="J56" i="1" s="1"/>
  <c r="J57" i="1" s="1"/>
  <c r="F56" i="1"/>
  <c r="F57" i="1" s="1"/>
  <c r="C63" i="1" s="1"/>
  <c r="G55" i="1"/>
  <c r="H56" i="1"/>
  <c r="H57" i="1" s="1"/>
  <c r="I55" i="1" l="1"/>
</calcChain>
</file>

<file path=xl/sharedStrings.xml><?xml version="1.0" encoding="utf-8"?>
<sst xmlns="http://schemas.openxmlformats.org/spreadsheetml/2006/main" count="147" uniqueCount="111">
  <si>
    <t>2. pielikums informatīvajam ziņojumam par projektu "Plūdu risku novēršana Jēkabpilī"</t>
  </si>
  <si>
    <t>Projekts "Plūdu risku novēršana Jēkabpilī"</t>
  </si>
  <si>
    <r>
      <rPr>
        <b/>
        <sz val="10"/>
        <color theme="1"/>
        <rFont val="Arial"/>
        <family val="2"/>
        <charset val="186"/>
      </rPr>
      <t>BUDŽETA PROVIZORISKĀ TĀME BŪVDARBIEM</t>
    </r>
    <r>
      <rPr>
        <sz val="10"/>
        <color theme="1"/>
        <rFont val="Arial"/>
        <family val="2"/>
        <charset val="186"/>
      </rPr>
      <t xml:space="preserve">
Objekts: </t>
    </r>
    <r>
      <rPr>
        <sz val="10"/>
        <rFont val="Arial"/>
        <family val="2"/>
        <charset val="186"/>
      </rPr>
      <t>"Jēkabpils valstpilsētas aizsargdambja (uzbērums) pārbūve"</t>
    </r>
  </si>
  <si>
    <r>
      <t xml:space="preserve">Objekta adrese: </t>
    </r>
    <r>
      <rPr>
        <sz val="10"/>
        <rFont val="Arial"/>
        <family val="2"/>
        <charset val="186"/>
      </rPr>
      <t>Jēkabpils pilsēta</t>
    </r>
  </si>
  <si>
    <t>Visā laika periodā 2023. - 2024. gads</t>
  </si>
  <si>
    <t>Laika periods 2023. gads</t>
  </si>
  <si>
    <t>Laika periodā 2024. gads</t>
  </si>
  <si>
    <t>Nr. p.k.</t>
  </si>
  <si>
    <t>Darba nosaukums</t>
  </si>
  <si>
    <t>Mērvienība</t>
  </si>
  <si>
    <t>Apjoms</t>
  </si>
  <si>
    <r>
      <t>Vienības cena (</t>
    </r>
    <r>
      <rPr>
        <i/>
        <sz val="10"/>
        <rFont val="Arial"/>
        <family val="2"/>
        <charset val="186"/>
      </rPr>
      <t>euro</t>
    </r>
    <r>
      <rPr>
        <sz val="10"/>
        <rFont val="Arial"/>
        <family val="2"/>
        <charset val="186"/>
      </rPr>
      <t>)</t>
    </r>
  </si>
  <si>
    <r>
      <t>Kopējā cena (</t>
    </r>
    <r>
      <rPr>
        <i/>
        <sz val="10"/>
        <rFont val="Arial"/>
        <family val="2"/>
        <charset val="186"/>
      </rPr>
      <t>euro</t>
    </r>
    <r>
      <rPr>
        <sz val="10"/>
        <rFont val="Arial"/>
        <family val="2"/>
        <charset val="186"/>
      </rPr>
      <t>)</t>
    </r>
  </si>
  <si>
    <r>
      <t>Kopējā cena periodā (</t>
    </r>
    <r>
      <rPr>
        <i/>
        <sz val="10"/>
        <rFont val="Arial"/>
        <family val="2"/>
        <charset val="186"/>
      </rPr>
      <t>euro</t>
    </r>
    <r>
      <rPr>
        <sz val="10"/>
        <rFont val="Arial"/>
        <family val="2"/>
        <charset val="186"/>
      </rPr>
      <t xml:space="preserve">)
</t>
    </r>
    <r>
      <rPr>
        <b/>
        <sz val="10"/>
        <rFont val="Arial"/>
        <family val="2"/>
        <charset val="186"/>
      </rPr>
      <t>Priekšfinansējums no valsts budžeta līdzekļiem</t>
    </r>
  </si>
  <si>
    <r>
      <rPr>
        <sz val="10"/>
        <rFont val="Arial"/>
        <family val="2"/>
        <charset val="186"/>
      </rPr>
      <t>Kopējā cena periodā (</t>
    </r>
    <r>
      <rPr>
        <i/>
        <sz val="10"/>
        <rFont val="Arial"/>
        <family val="2"/>
        <charset val="186"/>
      </rPr>
      <t>euro</t>
    </r>
    <r>
      <rPr>
        <sz val="10"/>
        <rFont val="Arial"/>
        <family val="2"/>
        <charset val="186"/>
      </rPr>
      <t>)</t>
    </r>
    <r>
      <rPr>
        <b/>
        <sz val="10"/>
        <rFont val="Arial"/>
        <family val="2"/>
        <charset val="186"/>
      </rPr>
      <t xml:space="preserve">
Finansējums no projekta līdzekļiem</t>
    </r>
  </si>
  <si>
    <t>Daugavas kreisā krasta aizsargdambja pārbūve</t>
  </si>
  <si>
    <t>1.1.</t>
  </si>
  <si>
    <t>Sagatavošanās un zemes darbi</t>
  </si>
  <si>
    <t>1.1.1.</t>
  </si>
  <si>
    <t>Sagatavošanās un mobilizācijas darbi, būvlaukuma uzturēšana, pievadceļu ekspluatācija</t>
  </si>
  <si>
    <t>obj.</t>
  </si>
  <si>
    <t>1.1.2.</t>
  </si>
  <si>
    <t>Esošā apauguma novākšana, celmu raušana un utilizācija (plūdu seku nolauzto koku un to paliekas ieskaitot)</t>
  </si>
  <si>
    <t>ha</t>
  </si>
  <si>
    <t>1.1.3.</t>
  </si>
  <si>
    <t>Esošas nogāzes un pārbūvejamās teritorijas aramkārtas noņemšana (pārvietojot un salabājot tālākiem augsnes slāņa atjaunošanas darbiem)</t>
  </si>
  <si>
    <r>
      <t>m</t>
    </r>
    <r>
      <rPr>
        <vertAlign val="superscript"/>
        <sz val="10"/>
        <rFont val="Arial"/>
        <family val="2"/>
        <charset val="186"/>
      </rPr>
      <t>2</t>
    </r>
  </si>
  <si>
    <t>1.1.4.</t>
  </si>
  <si>
    <t>Esošās nogāzes planēšana un profilēšana ar vietējo grunti, sagatavojot būvdarbu zonu projektējamiem būvdarbiem</t>
  </si>
  <si>
    <t>1.1.5.</t>
  </si>
  <si>
    <t>Aizsargdambja ķermeņa piebēršana (izskalotajās un profilējamās vietās) un paaugstināšana (vietās, kur ķermeņa augstums nepietiekams) ar pievestu minerālgrunti (filtrācijas koeficienta vērtība nosakāma pēc būvprojekta specifikācijas)</t>
  </si>
  <si>
    <r>
      <t>m</t>
    </r>
    <r>
      <rPr>
        <vertAlign val="superscript"/>
        <sz val="10"/>
        <rFont val="Arial"/>
        <family val="2"/>
        <charset val="186"/>
      </rPr>
      <t>3</t>
    </r>
  </si>
  <si>
    <t>1.1.6.</t>
  </si>
  <si>
    <t>Aizsargdambja ķermeņa blīvēšana un nestspējas atjaunošana (sufozijas radīto iesēdumu vietās), ar pievestu minerālgrunti (blīvējuma rādītāji un filtrācijas koeficienta vērtība nosakāma pēc būvprojekta risinājumiem)</t>
  </si>
  <si>
    <t>m</t>
  </si>
  <si>
    <t>1.2.</t>
  </si>
  <si>
    <t>Pretplūdu inženiertīkli</t>
  </si>
  <si>
    <t>1.2.1.</t>
  </si>
  <si>
    <t>Kompleksa risinājuma (drenāžas un lietus kanalizācijas cauruļvadi) izbūve sausajā aizsargdambja pusē, nogāzes piekājē, lai atrisinātu filtrācijas ūdeņu, lietus kanalizācijas un gruntsūdeņu atvadi no pieguļoša teritorijas</t>
  </si>
  <si>
    <t>1.2.2.</t>
  </si>
  <si>
    <t>Kompleksa risinājuma (drenāžas un lietus kanalizācijas sistēma - akas un iekārtas) izbūve, pārbūve, pieslēgums esošais sistēmai lietus kanalizācijas izlaidei Daugavā, sausajā aizsargdambja pusē un cauruļvadu šķērsojums aizsargdambju ķermenim, kā arī sistēmas drošas ekspluatācijas nodrošināšana (pretvārsti, vienvirziena vārstu un drošības vārstu izbūve sistēma)</t>
  </si>
  <si>
    <t>gab.</t>
  </si>
  <si>
    <t>1.2.3.</t>
  </si>
  <si>
    <t>Kompleksa risinājuma (avārijas izlaižu - cauruļvadi, atbalstsienas un iekārtas) pārbūve, demontāža, esošo cauruļvadu šķērsojums aizsargdambju ķermenī</t>
  </si>
  <si>
    <t>1.3.</t>
  </si>
  <si>
    <t>Aizsargdambja nostiprināšana akmeņu bēruma posmā 2400 m</t>
  </si>
  <si>
    <t>1.3.1.</t>
  </si>
  <si>
    <t xml:space="preserve">Nogāzes pamatojuma (smilts spilvena - 20cm biezumā aptuveni), zem filtrācijas samazinoša materiāla, izbūve ar blīvēšanu </t>
  </si>
  <si>
    <t>1.3.2.</t>
  </si>
  <si>
    <t>Filtrācijas samazinoša materiāla (bentonītmāla paklājs vai analogs) izbūve nogāzē un enkurošana, ar tranšejas izbūve</t>
  </si>
  <si>
    <t>1.3.3.</t>
  </si>
  <si>
    <t>Salizturīgās kārtas izbūve virs filtrācijas samazinošā materiāla (slāņa minimālais biezums 80 cm)</t>
  </si>
  <si>
    <t>1.3.4.</t>
  </si>
  <si>
    <t>Grunts slāņu nodalošā materiāla (ģeotekstils vai analogs) ierīkošana būvdarbu joslā (pēc būvprojekta risinājuma), lai samazinātu smalkās daļiņas izskalošanās riskus un slodzes izdali uz atblastsplakni</t>
  </si>
  <si>
    <t>1.3.5.</t>
  </si>
  <si>
    <r>
      <t xml:space="preserve">Nogāzes mehāniskās noturības kārtas izbūve - liela diametra akmeņu (min </t>
    </r>
    <r>
      <rPr>
        <sz val="10"/>
        <rFont val="Calibri"/>
        <family val="2"/>
      </rPr>
      <t>Ø</t>
    </r>
    <r>
      <rPr>
        <sz val="10"/>
        <rFont val="Arial"/>
        <family val="2"/>
        <charset val="186"/>
      </rPr>
      <t xml:space="preserve"> 20 cm)</t>
    </r>
    <r>
      <rPr>
        <sz val="10"/>
        <rFont val="Arial"/>
        <family val="2"/>
        <charset val="186"/>
      </rPr>
      <t xml:space="preserve"> kārtas  (minimālais slāņa biezums 80 cm) izbūve ar zobu izveidi dambja piekājē</t>
    </r>
  </si>
  <si>
    <t>1.3.6.</t>
  </si>
  <si>
    <t>Viļņu un ledus nodrošinājuma esošo konstrukciju (betona atbalstsienas pārbūve) pārbūve atbilstoši aprēķiniem paaugstinot un pastiprinot to</t>
  </si>
  <si>
    <t>1.4.</t>
  </si>
  <si>
    <t>Aizsargdambja nostiprināšana hidrobetonu posmā 1930 m</t>
  </si>
  <si>
    <t>1.4.1.</t>
  </si>
  <si>
    <t>Viļņu un ledus nodrošinājuma konstrukciju (betona atbalstsiena jaunbūve) atbilstoši aprēķiniem</t>
  </si>
  <si>
    <t>1.4.2.</t>
  </si>
  <si>
    <t xml:space="preserve">Nogāzes pamatojuma (smilts spilvena - 20 cm biezumā aptuveni), zem filtrācijas samazinoša materiāla, izbūve ar blīvēšanu </t>
  </si>
  <si>
    <t>1.4.3.</t>
  </si>
  <si>
    <t>Filtrācijas samazinoša materiāla (bentonītmāla paklājs vai analogs) izbūve nogāzē un enkurošana, ar tranšejas izbūvi</t>
  </si>
  <si>
    <t>1.4.4.</t>
  </si>
  <si>
    <t>1.4.5.</t>
  </si>
  <si>
    <t>1.4.6.</t>
  </si>
  <si>
    <t>Nogāzes mehāniskās noturības piekājes izbūve - betona sienas izveidi dambja piekājē iedziļinot (min. iedziļinājums 1m, zem Qvv ūdens līmeņa)</t>
  </si>
  <si>
    <t>1.4.7.</t>
  </si>
  <si>
    <r>
      <t xml:space="preserve">Nogāzes mehāniskās noturības kārtas pamatnes izbūve - dolomīta šķembu pamatojuma (frakcija </t>
    </r>
    <r>
      <rPr>
        <sz val="10"/>
        <rFont val="Calibri"/>
        <family val="2"/>
      </rPr>
      <t>Ø</t>
    </r>
    <r>
      <rPr>
        <sz val="10"/>
        <rFont val="Arial"/>
        <family val="2"/>
        <charset val="186"/>
      </rPr>
      <t xml:space="preserve"> 0-32 mm)</t>
    </r>
    <r>
      <rPr>
        <sz val="10"/>
        <rFont val="Arial"/>
        <family val="2"/>
        <charset val="186"/>
      </rPr>
      <t xml:space="preserve"> kārtas  (minimālais slāņa biezums 10 cm)</t>
    </r>
  </si>
  <si>
    <t>1.4.8.</t>
  </si>
  <si>
    <t>Nogāzes mehāniskās noturības kārtas izbūve - armēts hidrobetons (minimālais slāņa biezums 20 cm) izbūve ar deformācijas šuvju ierīkošanu</t>
  </si>
  <si>
    <t>1.5.</t>
  </si>
  <si>
    <t>Labiekārtošanas darbi un ceļu seguma atjaunošana</t>
  </si>
  <si>
    <t>1.5.1.</t>
  </si>
  <si>
    <t>Pieguļošās un būvdarbu laikā skartās teritorijas labiekārtošana un apzaļumošana</t>
  </si>
  <si>
    <t>1.5.2.</t>
  </si>
  <si>
    <t>Pieguļošās ielas un dambja virskārtas ceļa seguma atjaunošana</t>
  </si>
  <si>
    <t>Kopā, bez PVN:</t>
  </si>
  <si>
    <t>Daugavas labā krasta aizsargdambja pārbūve</t>
  </si>
  <si>
    <t>2.1.</t>
  </si>
  <si>
    <t>2.1.1.</t>
  </si>
  <si>
    <t>Sagatavošanās un mobilizācijas darbi, būvlaukuma uzturēšana, pievedceļu ekspluatācija</t>
  </si>
  <si>
    <t>2.2.</t>
  </si>
  <si>
    <t>2.2.1.</t>
  </si>
  <si>
    <t>2.2.2.</t>
  </si>
  <si>
    <t>Aizsargdambja betona pārbūve pie tā šķērsojumiem</t>
  </si>
  <si>
    <t>Zaļās infrastruktūras risinājumi</t>
  </si>
  <si>
    <t>3.</t>
  </si>
  <si>
    <t>3.1.</t>
  </si>
  <si>
    <t>Mitrzemes ierīkošana</t>
  </si>
  <si>
    <t>3.2.</t>
  </si>
  <si>
    <t>Fitoremediācijas lauka ierīkošana</t>
  </si>
  <si>
    <t>3.3.</t>
  </si>
  <si>
    <t>Virszemes ievalkas izbūve</t>
  </si>
  <si>
    <t>3.4.</t>
  </si>
  <si>
    <t>Ekobruģa ceļa klātnes ar filtrācijas pamatnes izbūve</t>
  </si>
  <si>
    <t xml:space="preserve"> Viss kopā, bez PVN:</t>
  </si>
  <si>
    <t>PVN 21.00 %</t>
  </si>
  <si>
    <t xml:space="preserve"> Viss pavisam kopā:</t>
  </si>
  <si>
    <t xml:space="preserve">Piezīmes: Projekta apjomu aprēķins veikts vispārīgs - aptuveni (informatīva rakstura). Precīzs, detalizēts, saskaņots ar tehnisko noteikumu izdevējiem, pasūtītāju, apjomu aprēķins tiks veikts pilnā būvprojekta sastāvā izstrādes laikā. </t>
  </si>
  <si>
    <t>Piezīme: 2023.gadā plānots arī avansa maksājums (20% apmērā) būvdarbiem, līdz ar to 2023.gadā finansējums būvdarbiem būtu ~8,5 milj. euro.</t>
  </si>
  <si>
    <r>
      <t xml:space="preserve">Kopējās izmaksas 
</t>
    </r>
    <r>
      <rPr>
        <i/>
        <sz val="10"/>
        <rFont val="Arial"/>
        <family val="2"/>
        <charset val="186"/>
      </rPr>
      <t>euro</t>
    </r>
  </si>
  <si>
    <t>Izmaksas 2023. gadā - priekšfinansējums no valsts budžeta līdzekļiem</t>
  </si>
  <si>
    <t>Izmaksas 2024. gadā - finansējums no projekta līdzekļiem</t>
  </si>
  <si>
    <t>Autoruzraudzība</t>
  </si>
  <si>
    <t>Būvuzraudzība (provizoriskās izmaksas)*</t>
  </si>
  <si>
    <t>KOPĒJĀS PROJEKTA IZMAKSAS</t>
  </si>
  <si>
    <t>*precīza būvdarbu un būvuzraudzības summa būs zināma pēc iepirkumu veikšanas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</si>
</sst>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
  </numFmts>
  <fonts count="12" x14ac:knownFonts="1">
    <font>
      <sz val="10"/>
      <name val="Arial"/>
      <family val="2"/>
      <charset val="186"/>
    </font>
    <font>
      <sz val="10"/>
      <name val="Arial"/>
      <family val="2"/>
      <charset val="186"/>
    </font>
    <font>
      <b/>
      <sz val="14"/>
      <name val="Arial"/>
      <family val="2"/>
      <charset val="186"/>
    </font>
    <font>
      <sz val="10"/>
      <color theme="1"/>
      <name val="Arial"/>
      <family val="2"/>
      <charset val="186"/>
    </font>
    <font>
      <b/>
      <sz val="10"/>
      <name val="Arial"/>
      <family val="2"/>
    </font>
    <font>
      <b/>
      <sz val="10"/>
      <name val="Arial"/>
      <family val="2"/>
      <charset val="186"/>
    </font>
    <font>
      <sz val="10"/>
      <name val="Calibri"/>
      <family val="2"/>
    </font>
    <font>
      <sz val="10"/>
      <color rgb="FF000000"/>
      <name val="Arial"/>
      <family val="2"/>
      <charset val="186"/>
    </font>
    <font>
      <b/>
      <sz val="10"/>
      <color rgb="FF000000"/>
      <name val="Arial"/>
      <family val="2"/>
    </font>
    <font>
      <b/>
      <sz val="10"/>
      <color theme="1"/>
      <name val="Arial"/>
      <family val="2"/>
      <charset val="186"/>
    </font>
    <font>
      <i/>
      <sz val="10"/>
      <name val="Arial"/>
      <family val="2"/>
      <charset val="186"/>
    </font>
    <font>
      <vertAlign val="superscript"/>
      <sz val="10"/>
      <name val="Arial"/>
      <family val="2"/>
      <charset val="186"/>
    </font>
  </fonts>
  <fills count="2">
    <fill>
      <patternFill patternType="none"/>
    </fill>
    <fill>
      <patternFill patternType="gray125"/>
    </fill>
  </fills>
  <borders count="3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03">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7"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3" fillId="0" borderId="6" xfId="0" applyFont="1" applyBorder="1" applyAlignment="1">
      <alignment horizontal="center" vertical="center" wrapText="1"/>
    </xf>
    <xf numFmtId="0" fontId="1" fillId="0" borderId="7" xfId="0" applyFont="1" applyBorder="1" applyAlignment="1">
      <alignment horizontal="center" vertical="center" wrapText="1"/>
    </xf>
    <xf numFmtId="1" fontId="4" fillId="0" borderId="8" xfId="0" applyNumberFormat="1"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164" fontId="0" fillId="0" borderId="11" xfId="0" applyNumberFormat="1" applyBorder="1" applyAlignment="1">
      <alignment horizontal="center" vertical="center"/>
    </xf>
    <xf numFmtId="0" fontId="0" fillId="0" borderId="12" xfId="0" applyBorder="1" applyAlignment="1">
      <alignment horizontal="center"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164" fontId="0" fillId="0" borderId="14" xfId="0" applyNumberFormat="1" applyBorder="1" applyAlignment="1">
      <alignment horizontal="center" vertical="center"/>
    </xf>
    <xf numFmtId="0" fontId="0" fillId="0" borderId="15"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164" fontId="0" fillId="0" borderId="17" xfId="0" applyNumberFormat="1" applyBorder="1" applyAlignment="1">
      <alignment horizontal="center" vertical="center"/>
    </xf>
    <xf numFmtId="0" fontId="0" fillId="0" borderId="18" xfId="0" applyBorder="1" applyAlignment="1">
      <alignment horizontal="center" vertical="center" wrapText="1"/>
    </xf>
    <xf numFmtId="0" fontId="0" fillId="0" borderId="18" xfId="0" applyBorder="1" applyAlignment="1">
      <alignment horizontal="center" vertical="center"/>
    </xf>
    <xf numFmtId="0" fontId="0" fillId="0" borderId="19" xfId="0" applyBorder="1" applyAlignment="1">
      <alignment horizontal="center" vertical="center"/>
    </xf>
    <xf numFmtId="164" fontId="4" fillId="0" borderId="8"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164" fontId="0" fillId="0" borderId="20" xfId="0" applyNumberFormat="1" applyBorder="1" applyAlignment="1">
      <alignment horizontal="center" vertical="center"/>
    </xf>
    <xf numFmtId="0" fontId="0" fillId="0" borderId="21" xfId="0" applyBorder="1" applyAlignment="1">
      <alignment horizontal="center"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164" fontId="0" fillId="0" borderId="23" xfId="0" applyNumberFormat="1" applyBorder="1" applyAlignment="1">
      <alignment horizontal="center" vertical="center"/>
    </xf>
    <xf numFmtId="0" fontId="7" fillId="0" borderId="24" xfId="0" applyFont="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1" fontId="4" fillId="0" borderId="5" xfId="0" applyNumberFormat="1" applyFont="1" applyBorder="1" applyAlignment="1">
      <alignment horizontal="center" vertical="center"/>
    </xf>
    <xf numFmtId="0" fontId="4" fillId="0" borderId="6" xfId="0" applyFont="1" applyBorder="1" applyAlignment="1">
      <alignment horizontal="center" vertical="center" wrapText="1"/>
    </xf>
    <xf numFmtId="164" fontId="0" fillId="0" borderId="26" xfId="0" applyNumberFormat="1" applyBorder="1" applyAlignment="1">
      <alignment horizontal="center" vertical="center"/>
    </xf>
    <xf numFmtId="0" fontId="0" fillId="0" borderId="27" xfId="0" applyBorder="1" applyAlignment="1">
      <alignment horizontal="center" vertical="center" wrapText="1"/>
    </xf>
    <xf numFmtId="0" fontId="0" fillId="0" borderId="27" xfId="0" applyBorder="1" applyAlignment="1">
      <alignment horizontal="center" vertical="center"/>
    </xf>
    <xf numFmtId="0" fontId="0" fillId="0" borderId="24" xfId="0" applyBorder="1" applyAlignment="1">
      <alignment horizontal="center" vertical="center" wrapText="1"/>
    </xf>
    <xf numFmtId="0" fontId="4" fillId="0" borderId="31" xfId="0" applyFont="1" applyBorder="1" applyAlignment="1">
      <alignment horizontal="center" vertical="center"/>
    </xf>
    <xf numFmtId="0" fontId="4" fillId="0" borderId="32" xfId="0" applyFont="1" applyBorder="1" applyAlignment="1">
      <alignment horizontal="center" vertical="center"/>
    </xf>
    <xf numFmtId="43" fontId="0" fillId="0" borderId="0" xfId="1" applyFont="1" applyFill="1" applyAlignment="1">
      <alignment horizontal="center" vertical="center"/>
    </xf>
    <xf numFmtId="0" fontId="5" fillId="0" borderId="15" xfId="0" applyFont="1" applyBorder="1" applyAlignment="1">
      <alignment horizontal="center" vertical="center" wrapText="1"/>
    </xf>
    <xf numFmtId="0" fontId="5" fillId="0" borderId="15" xfId="0" applyFont="1" applyBorder="1" applyAlignment="1">
      <alignment horizontal="center" vertical="center"/>
    </xf>
    <xf numFmtId="0" fontId="0" fillId="0" borderId="0" xfId="0" applyAlignment="1">
      <alignment horizontal="center" vertical="center" wrapText="1"/>
    </xf>
    <xf numFmtId="0" fontId="0" fillId="0" borderId="6" xfId="0" applyBorder="1" applyAlignment="1">
      <alignment horizontal="center" vertical="center" wrapText="1"/>
    </xf>
    <xf numFmtId="43" fontId="0" fillId="0" borderId="7" xfId="1" applyFont="1" applyFill="1" applyBorder="1" applyAlignment="1">
      <alignment horizontal="center" vertical="center" wrapText="1"/>
    </xf>
    <xf numFmtId="3" fontId="4" fillId="0" borderId="9" xfId="0" applyNumberFormat="1" applyFont="1" applyBorder="1" applyAlignment="1">
      <alignment horizontal="center" vertical="center" wrapText="1"/>
    </xf>
    <xf numFmtId="3" fontId="0" fillId="0" borderId="12" xfId="0" applyNumberFormat="1" applyBorder="1" applyAlignment="1">
      <alignment horizontal="center" vertical="center"/>
    </xf>
    <xf numFmtId="3" fontId="0" fillId="0" borderId="15" xfId="0" applyNumberFormat="1" applyBorder="1" applyAlignment="1">
      <alignment horizontal="center" vertical="center"/>
    </xf>
    <xf numFmtId="3" fontId="0" fillId="0" borderId="18" xfId="0" applyNumberFormat="1" applyBorder="1" applyAlignment="1">
      <alignment horizontal="center" vertical="center"/>
    </xf>
    <xf numFmtId="3" fontId="4" fillId="0" borderId="10" xfId="0" applyNumberFormat="1" applyFont="1" applyBorder="1" applyAlignment="1">
      <alignment horizontal="center" vertical="center" wrapText="1"/>
    </xf>
    <xf numFmtId="3" fontId="0" fillId="0" borderId="16" xfId="0" applyNumberFormat="1" applyBorder="1" applyAlignment="1">
      <alignment horizontal="center" vertical="center"/>
    </xf>
    <xf numFmtId="3" fontId="0" fillId="0" borderId="19" xfId="0" applyNumberFormat="1" applyBorder="1" applyAlignment="1">
      <alignment horizontal="center" vertical="center"/>
    </xf>
    <xf numFmtId="3" fontId="0" fillId="0" borderId="13" xfId="0" applyNumberFormat="1" applyBorder="1" applyAlignment="1">
      <alignment horizontal="center" vertical="center"/>
    </xf>
    <xf numFmtId="3" fontId="0" fillId="0" borderId="24" xfId="0" applyNumberFormat="1" applyBorder="1" applyAlignment="1">
      <alignment horizontal="center" vertical="center"/>
    </xf>
    <xf numFmtId="3" fontId="4" fillId="0" borderId="9" xfId="0" applyNumberFormat="1" applyFont="1" applyBorder="1" applyAlignment="1">
      <alignment horizontal="center" vertical="center"/>
    </xf>
    <xf numFmtId="3" fontId="0" fillId="0" borderId="21" xfId="0" applyNumberFormat="1" applyBorder="1" applyAlignment="1">
      <alignment horizontal="center" vertical="center"/>
    </xf>
    <xf numFmtId="3" fontId="0" fillId="0" borderId="27" xfId="0" applyNumberFormat="1" applyBorder="1" applyAlignment="1">
      <alignment horizontal="center" vertical="center"/>
    </xf>
    <xf numFmtId="3" fontId="4" fillId="0" borderId="31" xfId="0" applyNumberFormat="1" applyFont="1" applyBorder="1" applyAlignment="1">
      <alignment horizontal="center" vertical="center"/>
    </xf>
    <xf numFmtId="3" fontId="4" fillId="0" borderId="32" xfId="0" applyNumberFormat="1" applyFont="1" applyBorder="1" applyAlignment="1">
      <alignment horizontal="center" vertical="center"/>
    </xf>
    <xf numFmtId="3" fontId="4" fillId="0" borderId="6" xfId="0" applyNumberFormat="1" applyFont="1" applyBorder="1" applyAlignment="1">
      <alignment horizontal="center" vertical="center" wrapText="1"/>
    </xf>
    <xf numFmtId="3" fontId="0" fillId="0" borderId="28" xfId="0" applyNumberFormat="1" applyBorder="1" applyAlignment="1">
      <alignment horizontal="center" vertical="center"/>
    </xf>
    <xf numFmtId="3" fontId="0" fillId="0" borderId="25" xfId="0" applyNumberFormat="1" applyBorder="1" applyAlignment="1">
      <alignment horizontal="center" vertical="center"/>
    </xf>
    <xf numFmtId="164" fontId="0" fillId="0" borderId="0" xfId="0" applyNumberFormat="1" applyAlignment="1">
      <alignment horizontal="center" vertical="center"/>
    </xf>
    <xf numFmtId="1" fontId="0" fillId="0" borderId="0" xfId="0" applyNumberFormat="1" applyAlignment="1">
      <alignment horizontal="center" vertical="center"/>
    </xf>
    <xf numFmtId="0" fontId="0" fillId="0" borderId="0" xfId="0" applyAlignment="1">
      <alignment horizontal="center" vertical="center" wrapText="1"/>
    </xf>
    <xf numFmtId="0" fontId="4"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0" fillId="0" borderId="0" xfId="0" applyAlignment="1">
      <alignment horizontal="left" vertical="center" wrapText="1"/>
    </xf>
    <xf numFmtId="0" fontId="5" fillId="0" borderId="8" xfId="0" applyFont="1" applyBorder="1" applyAlignment="1">
      <alignment horizontal="right" vertical="center"/>
    </xf>
    <xf numFmtId="0" fontId="5" fillId="0" borderId="9"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6" xfId="0" applyFont="1" applyBorder="1" applyAlignment="1">
      <alignment horizontal="center" vertical="center" wrapText="1"/>
    </xf>
    <xf numFmtId="0" fontId="8" fillId="0" borderId="29" xfId="0" applyFont="1" applyBorder="1" applyAlignment="1">
      <alignment horizontal="right" vertical="center" wrapText="1"/>
    </xf>
    <xf numFmtId="0" fontId="8" fillId="0" borderId="1" xfId="0" applyFont="1" applyBorder="1" applyAlignment="1">
      <alignment horizontal="right" vertical="center" wrapText="1"/>
    </xf>
    <xf numFmtId="0" fontId="8" fillId="0" borderId="30" xfId="0" applyFont="1" applyBorder="1" applyAlignment="1">
      <alignment horizontal="right" vertical="center" wrapText="1"/>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1" fillId="0" borderId="29" xfId="0" applyFont="1" applyBorder="1" applyAlignment="1">
      <alignment horizontal="right" vertical="center"/>
    </xf>
    <xf numFmtId="0" fontId="0" fillId="0" borderId="1" xfId="0" applyBorder="1" applyAlignment="1">
      <alignment horizontal="right" vertical="center"/>
    </xf>
    <xf numFmtId="3" fontId="5" fillId="0" borderId="15" xfId="0" applyNumberFormat="1" applyFont="1" applyBorder="1" applyAlignment="1">
      <alignment horizontal="center" vertical="center"/>
    </xf>
    <xf numFmtId="0" fontId="10" fillId="0" borderId="0" xfId="0" applyFont="1" applyAlignment="1">
      <alignment horizontal="center" vertical="center"/>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15" xfId="0" applyFont="1" applyBorder="1" applyAlignment="1">
      <alignment horizontal="center" vertical="center" wrapText="1"/>
    </xf>
    <xf numFmtId="3" fontId="0" fillId="0" borderId="33" xfId="0" applyNumberFormat="1" applyBorder="1" applyAlignment="1">
      <alignment horizontal="center" vertical="center"/>
    </xf>
    <xf numFmtId="3" fontId="0" fillId="0" borderId="34" xfId="0" applyNumberFormat="1" applyBorder="1" applyAlignment="1">
      <alignment horizontal="center" vertical="center"/>
    </xf>
    <xf numFmtId="3" fontId="0" fillId="0" borderId="15" xfId="0" applyNumberForma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C6009-FC62-401D-8295-4C61982C41C1}">
  <sheetPr>
    <pageSetUpPr fitToPage="1"/>
  </sheetPr>
  <dimension ref="A1:L72"/>
  <sheetViews>
    <sheetView tabSelected="1" topLeftCell="A51" zoomScaleNormal="100" workbookViewId="0">
      <selection activeCell="L14" sqref="L14"/>
    </sheetView>
  </sheetViews>
  <sheetFormatPr defaultRowHeight="12.5" x14ac:dyDescent="0.25"/>
  <cols>
    <col min="1" max="1" width="6.453125" style="1" customWidth="1"/>
    <col min="2" max="2" width="42.1796875" style="1" customWidth="1"/>
    <col min="3" max="3" width="12.1796875" style="1" customWidth="1"/>
    <col min="4" max="4" width="12.7265625" style="1" customWidth="1"/>
    <col min="5" max="5" width="14" style="1" customWidth="1"/>
    <col min="6" max="6" width="17.1796875" style="44" customWidth="1"/>
    <col min="7" max="7" width="13.7265625" style="1" customWidth="1"/>
    <col min="8" max="8" width="25" style="1" customWidth="1"/>
    <col min="9" max="9" width="13.7265625" style="1" customWidth="1"/>
    <col min="10" max="10" width="23.26953125" style="1" customWidth="1"/>
    <col min="11" max="11" width="18.1796875" style="1" customWidth="1"/>
    <col min="12" max="12" width="20.26953125" style="1" customWidth="1"/>
    <col min="13" max="13" width="14.26953125" style="1" customWidth="1"/>
    <col min="14" max="14" width="15.453125" style="1" customWidth="1"/>
    <col min="15" max="256" width="9.1796875" style="1"/>
    <col min="257" max="257" width="6.453125" style="1" customWidth="1"/>
    <col min="258" max="258" width="42.1796875" style="1" customWidth="1"/>
    <col min="259" max="259" width="12.1796875" style="1" customWidth="1"/>
    <col min="260" max="260" width="12.7265625" style="1" customWidth="1"/>
    <col min="261" max="261" width="14" style="1" customWidth="1"/>
    <col min="262" max="262" width="13" style="1" customWidth="1"/>
    <col min="263" max="512" width="9.1796875" style="1"/>
    <col min="513" max="513" width="6.453125" style="1" customWidth="1"/>
    <col min="514" max="514" width="42.1796875" style="1" customWidth="1"/>
    <col min="515" max="515" width="12.1796875" style="1" customWidth="1"/>
    <col min="516" max="516" width="12.7265625" style="1" customWidth="1"/>
    <col min="517" max="517" width="14" style="1" customWidth="1"/>
    <col min="518" max="518" width="13" style="1" customWidth="1"/>
    <col min="519" max="768" width="9.1796875" style="1"/>
    <col min="769" max="769" width="6.453125" style="1" customWidth="1"/>
    <col min="770" max="770" width="42.1796875" style="1" customWidth="1"/>
    <col min="771" max="771" width="12.1796875" style="1" customWidth="1"/>
    <col min="772" max="772" width="12.7265625" style="1" customWidth="1"/>
    <col min="773" max="773" width="14" style="1" customWidth="1"/>
    <col min="774" max="774" width="13" style="1" customWidth="1"/>
    <col min="775" max="1024" width="9.1796875" style="1"/>
    <col min="1025" max="1025" width="6.453125" style="1" customWidth="1"/>
    <col min="1026" max="1026" width="42.1796875" style="1" customWidth="1"/>
    <col min="1027" max="1027" width="12.1796875" style="1" customWidth="1"/>
    <col min="1028" max="1028" width="12.7265625" style="1" customWidth="1"/>
    <col min="1029" max="1029" width="14" style="1" customWidth="1"/>
    <col min="1030" max="1030" width="13" style="1" customWidth="1"/>
    <col min="1031" max="1280" width="9.1796875" style="1"/>
    <col min="1281" max="1281" width="6.453125" style="1" customWidth="1"/>
    <col min="1282" max="1282" width="42.1796875" style="1" customWidth="1"/>
    <col min="1283" max="1283" width="12.1796875" style="1" customWidth="1"/>
    <col min="1284" max="1284" width="12.7265625" style="1" customWidth="1"/>
    <col min="1285" max="1285" width="14" style="1" customWidth="1"/>
    <col min="1286" max="1286" width="13" style="1" customWidth="1"/>
    <col min="1287" max="1536" width="9.1796875" style="1"/>
    <col min="1537" max="1537" width="6.453125" style="1" customWidth="1"/>
    <col min="1538" max="1538" width="42.1796875" style="1" customWidth="1"/>
    <col min="1539" max="1539" width="12.1796875" style="1" customWidth="1"/>
    <col min="1540" max="1540" width="12.7265625" style="1" customWidth="1"/>
    <col min="1541" max="1541" width="14" style="1" customWidth="1"/>
    <col min="1542" max="1542" width="13" style="1" customWidth="1"/>
    <col min="1543" max="1792" width="9.1796875" style="1"/>
    <col min="1793" max="1793" width="6.453125" style="1" customWidth="1"/>
    <col min="1794" max="1794" width="42.1796875" style="1" customWidth="1"/>
    <col min="1795" max="1795" width="12.1796875" style="1" customWidth="1"/>
    <col min="1796" max="1796" width="12.7265625" style="1" customWidth="1"/>
    <col min="1797" max="1797" width="14" style="1" customWidth="1"/>
    <col min="1798" max="1798" width="13" style="1" customWidth="1"/>
    <col min="1799" max="2048" width="9.1796875" style="1"/>
    <col min="2049" max="2049" width="6.453125" style="1" customWidth="1"/>
    <col min="2050" max="2050" width="42.1796875" style="1" customWidth="1"/>
    <col min="2051" max="2051" width="12.1796875" style="1" customWidth="1"/>
    <col min="2052" max="2052" width="12.7265625" style="1" customWidth="1"/>
    <col min="2053" max="2053" width="14" style="1" customWidth="1"/>
    <col min="2054" max="2054" width="13" style="1" customWidth="1"/>
    <col min="2055" max="2304" width="9.1796875" style="1"/>
    <col min="2305" max="2305" width="6.453125" style="1" customWidth="1"/>
    <col min="2306" max="2306" width="42.1796875" style="1" customWidth="1"/>
    <col min="2307" max="2307" width="12.1796875" style="1" customWidth="1"/>
    <col min="2308" max="2308" width="12.7265625" style="1" customWidth="1"/>
    <col min="2309" max="2309" width="14" style="1" customWidth="1"/>
    <col min="2310" max="2310" width="13" style="1" customWidth="1"/>
    <col min="2311" max="2560" width="9.1796875" style="1"/>
    <col min="2561" max="2561" width="6.453125" style="1" customWidth="1"/>
    <col min="2562" max="2562" width="42.1796875" style="1" customWidth="1"/>
    <col min="2563" max="2563" width="12.1796875" style="1" customWidth="1"/>
    <col min="2564" max="2564" width="12.7265625" style="1" customWidth="1"/>
    <col min="2565" max="2565" width="14" style="1" customWidth="1"/>
    <col min="2566" max="2566" width="13" style="1" customWidth="1"/>
    <col min="2567" max="2816" width="9.1796875" style="1"/>
    <col min="2817" max="2817" width="6.453125" style="1" customWidth="1"/>
    <col min="2818" max="2818" width="42.1796875" style="1" customWidth="1"/>
    <col min="2819" max="2819" width="12.1796875" style="1" customWidth="1"/>
    <col min="2820" max="2820" width="12.7265625" style="1" customWidth="1"/>
    <col min="2821" max="2821" width="14" style="1" customWidth="1"/>
    <col min="2822" max="2822" width="13" style="1" customWidth="1"/>
    <col min="2823" max="3072" width="9.1796875" style="1"/>
    <col min="3073" max="3073" width="6.453125" style="1" customWidth="1"/>
    <col min="3074" max="3074" width="42.1796875" style="1" customWidth="1"/>
    <col min="3075" max="3075" width="12.1796875" style="1" customWidth="1"/>
    <col min="3076" max="3076" width="12.7265625" style="1" customWidth="1"/>
    <col min="3077" max="3077" width="14" style="1" customWidth="1"/>
    <col min="3078" max="3078" width="13" style="1" customWidth="1"/>
    <col min="3079" max="3328" width="9.1796875" style="1"/>
    <col min="3329" max="3329" width="6.453125" style="1" customWidth="1"/>
    <col min="3330" max="3330" width="42.1796875" style="1" customWidth="1"/>
    <col min="3331" max="3331" width="12.1796875" style="1" customWidth="1"/>
    <col min="3332" max="3332" width="12.7265625" style="1" customWidth="1"/>
    <col min="3333" max="3333" width="14" style="1" customWidth="1"/>
    <col min="3334" max="3334" width="13" style="1" customWidth="1"/>
    <col min="3335" max="3584" width="9.1796875" style="1"/>
    <col min="3585" max="3585" width="6.453125" style="1" customWidth="1"/>
    <col min="3586" max="3586" width="42.1796875" style="1" customWidth="1"/>
    <col min="3587" max="3587" width="12.1796875" style="1" customWidth="1"/>
    <col min="3588" max="3588" width="12.7265625" style="1" customWidth="1"/>
    <col min="3589" max="3589" width="14" style="1" customWidth="1"/>
    <col min="3590" max="3590" width="13" style="1" customWidth="1"/>
    <col min="3591" max="3840" width="9.1796875" style="1"/>
    <col min="3841" max="3841" width="6.453125" style="1" customWidth="1"/>
    <col min="3842" max="3842" width="42.1796875" style="1" customWidth="1"/>
    <col min="3843" max="3843" width="12.1796875" style="1" customWidth="1"/>
    <col min="3844" max="3844" width="12.7265625" style="1" customWidth="1"/>
    <col min="3845" max="3845" width="14" style="1" customWidth="1"/>
    <col min="3846" max="3846" width="13" style="1" customWidth="1"/>
    <col min="3847" max="4096" width="9.1796875" style="1"/>
    <col min="4097" max="4097" width="6.453125" style="1" customWidth="1"/>
    <col min="4098" max="4098" width="42.1796875" style="1" customWidth="1"/>
    <col min="4099" max="4099" width="12.1796875" style="1" customWidth="1"/>
    <col min="4100" max="4100" width="12.7265625" style="1" customWidth="1"/>
    <col min="4101" max="4101" width="14" style="1" customWidth="1"/>
    <col min="4102" max="4102" width="13" style="1" customWidth="1"/>
    <col min="4103" max="4352" width="9.1796875" style="1"/>
    <col min="4353" max="4353" width="6.453125" style="1" customWidth="1"/>
    <col min="4354" max="4354" width="42.1796875" style="1" customWidth="1"/>
    <col min="4355" max="4355" width="12.1796875" style="1" customWidth="1"/>
    <col min="4356" max="4356" width="12.7265625" style="1" customWidth="1"/>
    <col min="4357" max="4357" width="14" style="1" customWidth="1"/>
    <col min="4358" max="4358" width="13" style="1" customWidth="1"/>
    <col min="4359" max="4608" width="9.1796875" style="1"/>
    <col min="4609" max="4609" width="6.453125" style="1" customWidth="1"/>
    <col min="4610" max="4610" width="42.1796875" style="1" customWidth="1"/>
    <col min="4611" max="4611" width="12.1796875" style="1" customWidth="1"/>
    <col min="4612" max="4612" width="12.7265625" style="1" customWidth="1"/>
    <col min="4613" max="4613" width="14" style="1" customWidth="1"/>
    <col min="4614" max="4614" width="13" style="1" customWidth="1"/>
    <col min="4615" max="4864" width="9.1796875" style="1"/>
    <col min="4865" max="4865" width="6.453125" style="1" customWidth="1"/>
    <col min="4866" max="4866" width="42.1796875" style="1" customWidth="1"/>
    <col min="4867" max="4867" width="12.1796875" style="1" customWidth="1"/>
    <col min="4868" max="4868" width="12.7265625" style="1" customWidth="1"/>
    <col min="4869" max="4869" width="14" style="1" customWidth="1"/>
    <col min="4870" max="4870" width="13" style="1" customWidth="1"/>
    <col min="4871" max="5120" width="9.1796875" style="1"/>
    <col min="5121" max="5121" width="6.453125" style="1" customWidth="1"/>
    <col min="5122" max="5122" width="42.1796875" style="1" customWidth="1"/>
    <col min="5123" max="5123" width="12.1796875" style="1" customWidth="1"/>
    <col min="5124" max="5124" width="12.7265625" style="1" customWidth="1"/>
    <col min="5125" max="5125" width="14" style="1" customWidth="1"/>
    <col min="5126" max="5126" width="13" style="1" customWidth="1"/>
    <col min="5127" max="5376" width="9.1796875" style="1"/>
    <col min="5377" max="5377" width="6.453125" style="1" customWidth="1"/>
    <col min="5378" max="5378" width="42.1796875" style="1" customWidth="1"/>
    <col min="5379" max="5379" width="12.1796875" style="1" customWidth="1"/>
    <col min="5380" max="5380" width="12.7265625" style="1" customWidth="1"/>
    <col min="5381" max="5381" width="14" style="1" customWidth="1"/>
    <col min="5382" max="5382" width="13" style="1" customWidth="1"/>
    <col min="5383" max="5632" width="9.1796875" style="1"/>
    <col min="5633" max="5633" width="6.453125" style="1" customWidth="1"/>
    <col min="5634" max="5634" width="42.1796875" style="1" customWidth="1"/>
    <col min="5635" max="5635" width="12.1796875" style="1" customWidth="1"/>
    <col min="5636" max="5636" width="12.7265625" style="1" customWidth="1"/>
    <col min="5637" max="5637" width="14" style="1" customWidth="1"/>
    <col min="5638" max="5638" width="13" style="1" customWidth="1"/>
    <col min="5639" max="5888" width="9.1796875" style="1"/>
    <col min="5889" max="5889" width="6.453125" style="1" customWidth="1"/>
    <col min="5890" max="5890" width="42.1796875" style="1" customWidth="1"/>
    <col min="5891" max="5891" width="12.1796875" style="1" customWidth="1"/>
    <col min="5892" max="5892" width="12.7265625" style="1" customWidth="1"/>
    <col min="5893" max="5893" width="14" style="1" customWidth="1"/>
    <col min="5894" max="5894" width="13" style="1" customWidth="1"/>
    <col min="5895" max="6144" width="9.1796875" style="1"/>
    <col min="6145" max="6145" width="6.453125" style="1" customWidth="1"/>
    <col min="6146" max="6146" width="42.1796875" style="1" customWidth="1"/>
    <col min="6147" max="6147" width="12.1796875" style="1" customWidth="1"/>
    <col min="6148" max="6148" width="12.7265625" style="1" customWidth="1"/>
    <col min="6149" max="6149" width="14" style="1" customWidth="1"/>
    <col min="6150" max="6150" width="13" style="1" customWidth="1"/>
    <col min="6151" max="6400" width="9.1796875" style="1"/>
    <col min="6401" max="6401" width="6.453125" style="1" customWidth="1"/>
    <col min="6402" max="6402" width="42.1796875" style="1" customWidth="1"/>
    <col min="6403" max="6403" width="12.1796875" style="1" customWidth="1"/>
    <col min="6404" max="6404" width="12.7265625" style="1" customWidth="1"/>
    <col min="6405" max="6405" width="14" style="1" customWidth="1"/>
    <col min="6406" max="6406" width="13" style="1" customWidth="1"/>
    <col min="6407" max="6656" width="9.1796875" style="1"/>
    <col min="6657" max="6657" width="6.453125" style="1" customWidth="1"/>
    <col min="6658" max="6658" width="42.1796875" style="1" customWidth="1"/>
    <col min="6659" max="6659" width="12.1796875" style="1" customWidth="1"/>
    <col min="6660" max="6660" width="12.7265625" style="1" customWidth="1"/>
    <col min="6661" max="6661" width="14" style="1" customWidth="1"/>
    <col min="6662" max="6662" width="13" style="1" customWidth="1"/>
    <col min="6663" max="6912" width="9.1796875" style="1"/>
    <col min="6913" max="6913" width="6.453125" style="1" customWidth="1"/>
    <col min="6914" max="6914" width="42.1796875" style="1" customWidth="1"/>
    <col min="6915" max="6915" width="12.1796875" style="1" customWidth="1"/>
    <col min="6916" max="6916" width="12.7265625" style="1" customWidth="1"/>
    <col min="6917" max="6917" width="14" style="1" customWidth="1"/>
    <col min="6918" max="6918" width="13" style="1" customWidth="1"/>
    <col min="6919" max="7168" width="9.1796875" style="1"/>
    <col min="7169" max="7169" width="6.453125" style="1" customWidth="1"/>
    <col min="7170" max="7170" width="42.1796875" style="1" customWidth="1"/>
    <col min="7171" max="7171" width="12.1796875" style="1" customWidth="1"/>
    <col min="7172" max="7172" width="12.7265625" style="1" customWidth="1"/>
    <col min="7173" max="7173" width="14" style="1" customWidth="1"/>
    <col min="7174" max="7174" width="13" style="1" customWidth="1"/>
    <col min="7175" max="7424" width="9.1796875" style="1"/>
    <col min="7425" max="7425" width="6.453125" style="1" customWidth="1"/>
    <col min="7426" max="7426" width="42.1796875" style="1" customWidth="1"/>
    <col min="7427" max="7427" width="12.1796875" style="1" customWidth="1"/>
    <col min="7428" max="7428" width="12.7265625" style="1" customWidth="1"/>
    <col min="7429" max="7429" width="14" style="1" customWidth="1"/>
    <col min="7430" max="7430" width="13" style="1" customWidth="1"/>
    <col min="7431" max="7680" width="9.1796875" style="1"/>
    <col min="7681" max="7681" width="6.453125" style="1" customWidth="1"/>
    <col min="7682" max="7682" width="42.1796875" style="1" customWidth="1"/>
    <col min="7683" max="7683" width="12.1796875" style="1" customWidth="1"/>
    <col min="7684" max="7684" width="12.7265625" style="1" customWidth="1"/>
    <col min="7685" max="7685" width="14" style="1" customWidth="1"/>
    <col min="7686" max="7686" width="13" style="1" customWidth="1"/>
    <col min="7687" max="7936" width="9.1796875" style="1"/>
    <col min="7937" max="7937" width="6.453125" style="1" customWidth="1"/>
    <col min="7938" max="7938" width="42.1796875" style="1" customWidth="1"/>
    <col min="7939" max="7939" width="12.1796875" style="1" customWidth="1"/>
    <col min="7940" max="7940" width="12.7265625" style="1" customWidth="1"/>
    <col min="7941" max="7941" width="14" style="1" customWidth="1"/>
    <col min="7942" max="7942" width="13" style="1" customWidth="1"/>
    <col min="7943" max="8192" width="9.1796875" style="1"/>
    <col min="8193" max="8193" width="6.453125" style="1" customWidth="1"/>
    <col min="8194" max="8194" width="42.1796875" style="1" customWidth="1"/>
    <col min="8195" max="8195" width="12.1796875" style="1" customWidth="1"/>
    <col min="8196" max="8196" width="12.7265625" style="1" customWidth="1"/>
    <col min="8197" max="8197" width="14" style="1" customWidth="1"/>
    <col min="8198" max="8198" width="13" style="1" customWidth="1"/>
    <col min="8199" max="8448" width="9.1796875" style="1"/>
    <col min="8449" max="8449" width="6.453125" style="1" customWidth="1"/>
    <col min="8450" max="8450" width="42.1796875" style="1" customWidth="1"/>
    <col min="8451" max="8451" width="12.1796875" style="1" customWidth="1"/>
    <col min="8452" max="8452" width="12.7265625" style="1" customWidth="1"/>
    <col min="8453" max="8453" width="14" style="1" customWidth="1"/>
    <col min="8454" max="8454" width="13" style="1" customWidth="1"/>
    <col min="8455" max="8704" width="9.1796875" style="1"/>
    <col min="8705" max="8705" width="6.453125" style="1" customWidth="1"/>
    <col min="8706" max="8706" width="42.1796875" style="1" customWidth="1"/>
    <col min="8707" max="8707" width="12.1796875" style="1" customWidth="1"/>
    <col min="8708" max="8708" width="12.7265625" style="1" customWidth="1"/>
    <col min="8709" max="8709" width="14" style="1" customWidth="1"/>
    <col min="8710" max="8710" width="13" style="1" customWidth="1"/>
    <col min="8711" max="8960" width="9.1796875" style="1"/>
    <col min="8961" max="8961" width="6.453125" style="1" customWidth="1"/>
    <col min="8962" max="8962" width="42.1796875" style="1" customWidth="1"/>
    <col min="8963" max="8963" width="12.1796875" style="1" customWidth="1"/>
    <col min="8964" max="8964" width="12.7265625" style="1" customWidth="1"/>
    <col min="8965" max="8965" width="14" style="1" customWidth="1"/>
    <col min="8966" max="8966" width="13" style="1" customWidth="1"/>
    <col min="8967" max="9216" width="9.1796875" style="1"/>
    <col min="9217" max="9217" width="6.453125" style="1" customWidth="1"/>
    <col min="9218" max="9218" width="42.1796875" style="1" customWidth="1"/>
    <col min="9219" max="9219" width="12.1796875" style="1" customWidth="1"/>
    <col min="9220" max="9220" width="12.7265625" style="1" customWidth="1"/>
    <col min="9221" max="9221" width="14" style="1" customWidth="1"/>
    <col min="9222" max="9222" width="13" style="1" customWidth="1"/>
    <col min="9223" max="9472" width="9.1796875" style="1"/>
    <col min="9473" max="9473" width="6.453125" style="1" customWidth="1"/>
    <col min="9474" max="9474" width="42.1796875" style="1" customWidth="1"/>
    <col min="9475" max="9475" width="12.1796875" style="1" customWidth="1"/>
    <col min="9476" max="9476" width="12.7265625" style="1" customWidth="1"/>
    <col min="9477" max="9477" width="14" style="1" customWidth="1"/>
    <col min="9478" max="9478" width="13" style="1" customWidth="1"/>
    <col min="9479" max="9728" width="9.1796875" style="1"/>
    <col min="9729" max="9729" width="6.453125" style="1" customWidth="1"/>
    <col min="9730" max="9730" width="42.1796875" style="1" customWidth="1"/>
    <col min="9731" max="9731" width="12.1796875" style="1" customWidth="1"/>
    <col min="9732" max="9732" width="12.7265625" style="1" customWidth="1"/>
    <col min="9733" max="9733" width="14" style="1" customWidth="1"/>
    <col min="9734" max="9734" width="13" style="1" customWidth="1"/>
    <col min="9735" max="9984" width="9.1796875" style="1"/>
    <col min="9985" max="9985" width="6.453125" style="1" customWidth="1"/>
    <col min="9986" max="9986" width="42.1796875" style="1" customWidth="1"/>
    <col min="9987" max="9987" width="12.1796875" style="1" customWidth="1"/>
    <col min="9988" max="9988" width="12.7265625" style="1" customWidth="1"/>
    <col min="9989" max="9989" width="14" style="1" customWidth="1"/>
    <col min="9990" max="9990" width="13" style="1" customWidth="1"/>
    <col min="9991" max="10240" width="9.1796875" style="1"/>
    <col min="10241" max="10241" width="6.453125" style="1" customWidth="1"/>
    <col min="10242" max="10242" width="42.1796875" style="1" customWidth="1"/>
    <col min="10243" max="10243" width="12.1796875" style="1" customWidth="1"/>
    <col min="10244" max="10244" width="12.7265625" style="1" customWidth="1"/>
    <col min="10245" max="10245" width="14" style="1" customWidth="1"/>
    <col min="10246" max="10246" width="13" style="1" customWidth="1"/>
    <col min="10247" max="10496" width="9.1796875" style="1"/>
    <col min="10497" max="10497" width="6.453125" style="1" customWidth="1"/>
    <col min="10498" max="10498" width="42.1796875" style="1" customWidth="1"/>
    <col min="10499" max="10499" width="12.1796875" style="1" customWidth="1"/>
    <col min="10500" max="10500" width="12.7265625" style="1" customWidth="1"/>
    <col min="10501" max="10501" width="14" style="1" customWidth="1"/>
    <col min="10502" max="10502" width="13" style="1" customWidth="1"/>
    <col min="10503" max="10752" width="9.1796875" style="1"/>
    <col min="10753" max="10753" width="6.453125" style="1" customWidth="1"/>
    <col min="10754" max="10754" width="42.1796875" style="1" customWidth="1"/>
    <col min="10755" max="10755" width="12.1796875" style="1" customWidth="1"/>
    <col min="10756" max="10756" width="12.7265625" style="1" customWidth="1"/>
    <col min="10757" max="10757" width="14" style="1" customWidth="1"/>
    <col min="10758" max="10758" width="13" style="1" customWidth="1"/>
    <col min="10759" max="11008" width="9.1796875" style="1"/>
    <col min="11009" max="11009" width="6.453125" style="1" customWidth="1"/>
    <col min="11010" max="11010" width="42.1796875" style="1" customWidth="1"/>
    <col min="11011" max="11011" width="12.1796875" style="1" customWidth="1"/>
    <col min="11012" max="11012" width="12.7265625" style="1" customWidth="1"/>
    <col min="11013" max="11013" width="14" style="1" customWidth="1"/>
    <col min="11014" max="11014" width="13" style="1" customWidth="1"/>
    <col min="11015" max="11264" width="9.1796875" style="1"/>
    <col min="11265" max="11265" width="6.453125" style="1" customWidth="1"/>
    <col min="11266" max="11266" width="42.1796875" style="1" customWidth="1"/>
    <col min="11267" max="11267" width="12.1796875" style="1" customWidth="1"/>
    <col min="11268" max="11268" width="12.7265625" style="1" customWidth="1"/>
    <col min="11269" max="11269" width="14" style="1" customWidth="1"/>
    <col min="11270" max="11270" width="13" style="1" customWidth="1"/>
    <col min="11271" max="11520" width="9.1796875" style="1"/>
    <col min="11521" max="11521" width="6.453125" style="1" customWidth="1"/>
    <col min="11522" max="11522" width="42.1796875" style="1" customWidth="1"/>
    <col min="11523" max="11523" width="12.1796875" style="1" customWidth="1"/>
    <col min="11524" max="11524" width="12.7265625" style="1" customWidth="1"/>
    <col min="11525" max="11525" width="14" style="1" customWidth="1"/>
    <col min="11526" max="11526" width="13" style="1" customWidth="1"/>
    <col min="11527" max="11776" width="9.1796875" style="1"/>
    <col min="11777" max="11777" width="6.453125" style="1" customWidth="1"/>
    <col min="11778" max="11778" width="42.1796875" style="1" customWidth="1"/>
    <col min="11779" max="11779" width="12.1796875" style="1" customWidth="1"/>
    <col min="11780" max="11780" width="12.7265625" style="1" customWidth="1"/>
    <col min="11781" max="11781" width="14" style="1" customWidth="1"/>
    <col min="11782" max="11782" width="13" style="1" customWidth="1"/>
    <col min="11783" max="12032" width="9.1796875" style="1"/>
    <col min="12033" max="12033" width="6.453125" style="1" customWidth="1"/>
    <col min="12034" max="12034" width="42.1796875" style="1" customWidth="1"/>
    <col min="12035" max="12035" width="12.1796875" style="1" customWidth="1"/>
    <col min="12036" max="12036" width="12.7265625" style="1" customWidth="1"/>
    <col min="12037" max="12037" width="14" style="1" customWidth="1"/>
    <col min="12038" max="12038" width="13" style="1" customWidth="1"/>
    <col min="12039" max="12288" width="9.1796875" style="1"/>
    <col min="12289" max="12289" width="6.453125" style="1" customWidth="1"/>
    <col min="12290" max="12290" width="42.1796875" style="1" customWidth="1"/>
    <col min="12291" max="12291" width="12.1796875" style="1" customWidth="1"/>
    <col min="12292" max="12292" width="12.7265625" style="1" customWidth="1"/>
    <col min="12293" max="12293" width="14" style="1" customWidth="1"/>
    <col min="12294" max="12294" width="13" style="1" customWidth="1"/>
    <col min="12295" max="12544" width="9.1796875" style="1"/>
    <col min="12545" max="12545" width="6.453125" style="1" customWidth="1"/>
    <col min="12546" max="12546" width="42.1796875" style="1" customWidth="1"/>
    <col min="12547" max="12547" width="12.1796875" style="1" customWidth="1"/>
    <col min="12548" max="12548" width="12.7265625" style="1" customWidth="1"/>
    <col min="12549" max="12549" width="14" style="1" customWidth="1"/>
    <col min="12550" max="12550" width="13" style="1" customWidth="1"/>
    <col min="12551" max="12800" width="9.1796875" style="1"/>
    <col min="12801" max="12801" width="6.453125" style="1" customWidth="1"/>
    <col min="12802" max="12802" width="42.1796875" style="1" customWidth="1"/>
    <col min="12803" max="12803" width="12.1796875" style="1" customWidth="1"/>
    <col min="12804" max="12804" width="12.7265625" style="1" customWidth="1"/>
    <col min="12805" max="12805" width="14" style="1" customWidth="1"/>
    <col min="12806" max="12806" width="13" style="1" customWidth="1"/>
    <col min="12807" max="13056" width="9.1796875" style="1"/>
    <col min="13057" max="13057" width="6.453125" style="1" customWidth="1"/>
    <col min="13058" max="13058" width="42.1796875" style="1" customWidth="1"/>
    <col min="13059" max="13059" width="12.1796875" style="1" customWidth="1"/>
    <col min="13060" max="13060" width="12.7265625" style="1" customWidth="1"/>
    <col min="13061" max="13061" width="14" style="1" customWidth="1"/>
    <col min="13062" max="13062" width="13" style="1" customWidth="1"/>
    <col min="13063" max="13312" width="9.1796875" style="1"/>
    <col min="13313" max="13313" width="6.453125" style="1" customWidth="1"/>
    <col min="13314" max="13314" width="42.1796875" style="1" customWidth="1"/>
    <col min="13315" max="13315" width="12.1796875" style="1" customWidth="1"/>
    <col min="13316" max="13316" width="12.7265625" style="1" customWidth="1"/>
    <col min="13317" max="13317" width="14" style="1" customWidth="1"/>
    <col min="13318" max="13318" width="13" style="1" customWidth="1"/>
    <col min="13319" max="13568" width="9.1796875" style="1"/>
    <col min="13569" max="13569" width="6.453125" style="1" customWidth="1"/>
    <col min="13570" max="13570" width="42.1796875" style="1" customWidth="1"/>
    <col min="13571" max="13571" width="12.1796875" style="1" customWidth="1"/>
    <col min="13572" max="13572" width="12.7265625" style="1" customWidth="1"/>
    <col min="13573" max="13573" width="14" style="1" customWidth="1"/>
    <col min="13574" max="13574" width="13" style="1" customWidth="1"/>
    <col min="13575" max="13824" width="9.1796875" style="1"/>
    <col min="13825" max="13825" width="6.453125" style="1" customWidth="1"/>
    <col min="13826" max="13826" width="42.1796875" style="1" customWidth="1"/>
    <col min="13827" max="13827" width="12.1796875" style="1" customWidth="1"/>
    <col min="13828" max="13828" width="12.7265625" style="1" customWidth="1"/>
    <col min="13829" max="13829" width="14" style="1" customWidth="1"/>
    <col min="13830" max="13830" width="13" style="1" customWidth="1"/>
    <col min="13831" max="14080" width="9.1796875" style="1"/>
    <col min="14081" max="14081" width="6.453125" style="1" customWidth="1"/>
    <col min="14082" max="14082" width="42.1796875" style="1" customWidth="1"/>
    <col min="14083" max="14083" width="12.1796875" style="1" customWidth="1"/>
    <col min="14084" max="14084" width="12.7265625" style="1" customWidth="1"/>
    <col min="14085" max="14085" width="14" style="1" customWidth="1"/>
    <col min="14086" max="14086" width="13" style="1" customWidth="1"/>
    <col min="14087" max="14336" width="9.1796875" style="1"/>
    <col min="14337" max="14337" width="6.453125" style="1" customWidth="1"/>
    <col min="14338" max="14338" width="42.1796875" style="1" customWidth="1"/>
    <col min="14339" max="14339" width="12.1796875" style="1" customWidth="1"/>
    <col min="14340" max="14340" width="12.7265625" style="1" customWidth="1"/>
    <col min="14341" max="14341" width="14" style="1" customWidth="1"/>
    <col min="14342" max="14342" width="13" style="1" customWidth="1"/>
    <col min="14343" max="14592" width="9.1796875" style="1"/>
    <col min="14593" max="14593" width="6.453125" style="1" customWidth="1"/>
    <col min="14594" max="14594" width="42.1796875" style="1" customWidth="1"/>
    <col min="14595" max="14595" width="12.1796875" style="1" customWidth="1"/>
    <col min="14596" max="14596" width="12.7265625" style="1" customWidth="1"/>
    <col min="14597" max="14597" width="14" style="1" customWidth="1"/>
    <col min="14598" max="14598" width="13" style="1" customWidth="1"/>
    <col min="14599" max="14848" width="9.1796875" style="1"/>
    <col min="14849" max="14849" width="6.453125" style="1" customWidth="1"/>
    <col min="14850" max="14850" width="42.1796875" style="1" customWidth="1"/>
    <col min="14851" max="14851" width="12.1796875" style="1" customWidth="1"/>
    <col min="14852" max="14852" width="12.7265625" style="1" customWidth="1"/>
    <col min="14853" max="14853" width="14" style="1" customWidth="1"/>
    <col min="14854" max="14854" width="13" style="1" customWidth="1"/>
    <col min="14855" max="15104" width="9.1796875" style="1"/>
    <col min="15105" max="15105" width="6.453125" style="1" customWidth="1"/>
    <col min="15106" max="15106" width="42.1796875" style="1" customWidth="1"/>
    <col min="15107" max="15107" width="12.1796875" style="1" customWidth="1"/>
    <col min="15108" max="15108" width="12.7265625" style="1" customWidth="1"/>
    <col min="15109" max="15109" width="14" style="1" customWidth="1"/>
    <col min="15110" max="15110" width="13" style="1" customWidth="1"/>
    <col min="15111" max="15360" width="9.1796875" style="1"/>
    <col min="15361" max="15361" width="6.453125" style="1" customWidth="1"/>
    <col min="15362" max="15362" width="42.1796875" style="1" customWidth="1"/>
    <col min="15363" max="15363" width="12.1796875" style="1" customWidth="1"/>
    <col min="15364" max="15364" width="12.7265625" style="1" customWidth="1"/>
    <col min="15365" max="15365" width="14" style="1" customWidth="1"/>
    <col min="15366" max="15366" width="13" style="1" customWidth="1"/>
    <col min="15367" max="15616" width="9.1796875" style="1"/>
    <col min="15617" max="15617" width="6.453125" style="1" customWidth="1"/>
    <col min="15618" max="15618" width="42.1796875" style="1" customWidth="1"/>
    <col min="15619" max="15619" width="12.1796875" style="1" customWidth="1"/>
    <col min="15620" max="15620" width="12.7265625" style="1" customWidth="1"/>
    <col min="15621" max="15621" width="14" style="1" customWidth="1"/>
    <col min="15622" max="15622" width="13" style="1" customWidth="1"/>
    <col min="15623" max="15872" width="9.1796875" style="1"/>
    <col min="15873" max="15873" width="6.453125" style="1" customWidth="1"/>
    <col min="15874" max="15874" width="42.1796875" style="1" customWidth="1"/>
    <col min="15875" max="15875" width="12.1796875" style="1" customWidth="1"/>
    <col min="15876" max="15876" width="12.7265625" style="1" customWidth="1"/>
    <col min="15877" max="15877" width="14" style="1" customWidth="1"/>
    <col min="15878" max="15878" width="13" style="1" customWidth="1"/>
    <col min="15879" max="16128" width="9.1796875" style="1"/>
    <col min="16129" max="16129" width="6.453125" style="1" customWidth="1"/>
    <col min="16130" max="16130" width="42.1796875" style="1" customWidth="1"/>
    <col min="16131" max="16131" width="12.1796875" style="1" customWidth="1"/>
    <col min="16132" max="16132" width="12.7265625" style="1" customWidth="1"/>
    <col min="16133" max="16133" width="14" style="1" customWidth="1"/>
    <col min="16134" max="16134" width="13" style="1" customWidth="1"/>
    <col min="16135" max="16384" width="9.1796875" style="1"/>
  </cols>
  <sheetData>
    <row r="1" spans="1:12" x14ac:dyDescent="0.25">
      <c r="G1" s="69" t="s">
        <v>0</v>
      </c>
      <c r="H1" s="69"/>
      <c r="I1" s="69"/>
      <c r="J1" s="69"/>
    </row>
    <row r="2" spans="1:12" x14ac:dyDescent="0.25">
      <c r="G2" s="47"/>
      <c r="H2" s="47"/>
      <c r="I2" s="47"/>
      <c r="J2" s="47"/>
    </row>
    <row r="3" spans="1:12" ht="27" customHeight="1" x14ac:dyDescent="0.25">
      <c r="A3" s="71" t="s">
        <v>1</v>
      </c>
      <c r="B3" s="72"/>
      <c r="C3" s="72"/>
      <c r="D3" s="72"/>
      <c r="E3" s="72"/>
      <c r="F3" s="72"/>
      <c r="G3" s="72"/>
      <c r="H3" s="72"/>
      <c r="I3" s="72"/>
      <c r="J3" s="72"/>
    </row>
    <row r="4" spans="1:12" s="2" customFormat="1" ht="32.25" customHeight="1" x14ac:dyDescent="0.25">
      <c r="A4" s="73" t="s">
        <v>2</v>
      </c>
      <c r="B4" s="74"/>
      <c r="C4" s="74"/>
      <c r="D4" s="74"/>
      <c r="E4" s="74"/>
      <c r="F4" s="74"/>
      <c r="G4" s="74"/>
      <c r="H4" s="74"/>
      <c r="I4" s="74"/>
      <c r="J4" s="74"/>
    </row>
    <row r="5" spans="1:12" s="2" customFormat="1" ht="24.75" customHeight="1" thickBot="1" x14ac:dyDescent="0.3">
      <c r="A5" s="75" t="s">
        <v>3</v>
      </c>
      <c r="B5" s="75"/>
      <c r="C5" s="75"/>
      <c r="D5" s="75"/>
      <c r="E5" s="75"/>
      <c r="F5" s="75"/>
      <c r="G5" s="75"/>
      <c r="H5" s="75"/>
      <c r="I5" s="75"/>
      <c r="J5" s="75"/>
    </row>
    <row r="6" spans="1:12" ht="21.75" customHeight="1" thickBot="1" x14ac:dyDescent="0.3">
      <c r="A6" s="76" t="s">
        <v>4</v>
      </c>
      <c r="B6" s="77"/>
      <c r="C6" s="77"/>
      <c r="D6" s="77"/>
      <c r="E6" s="77"/>
      <c r="F6" s="78"/>
      <c r="G6" s="76" t="s">
        <v>5</v>
      </c>
      <c r="H6" s="78"/>
      <c r="I6" s="76" t="s">
        <v>6</v>
      </c>
      <c r="J6" s="78"/>
    </row>
    <row r="7" spans="1:12" ht="52.5" customHeight="1" thickBot="1" x14ac:dyDescent="0.3">
      <c r="A7" s="3" t="s">
        <v>7</v>
      </c>
      <c r="B7" s="4" t="s">
        <v>8</v>
      </c>
      <c r="C7" s="4" t="s">
        <v>9</v>
      </c>
      <c r="D7" s="4" t="s">
        <v>10</v>
      </c>
      <c r="E7" s="48" t="s">
        <v>11</v>
      </c>
      <c r="F7" s="49" t="s">
        <v>12</v>
      </c>
      <c r="G7" s="4" t="s">
        <v>10</v>
      </c>
      <c r="H7" s="5" t="s">
        <v>13</v>
      </c>
      <c r="I7" s="4" t="s">
        <v>10</v>
      </c>
      <c r="J7" s="6" t="s">
        <v>14</v>
      </c>
    </row>
    <row r="8" spans="1:12" ht="18" customHeight="1" thickBot="1" x14ac:dyDescent="0.3">
      <c r="A8" s="3">
        <v>1</v>
      </c>
      <c r="B8" s="4">
        <v>2</v>
      </c>
      <c r="C8" s="7">
        <v>3</v>
      </c>
      <c r="D8" s="4">
        <v>4</v>
      </c>
      <c r="E8" s="7">
        <v>5</v>
      </c>
      <c r="F8" s="4">
        <v>6</v>
      </c>
      <c r="G8" s="7">
        <v>7</v>
      </c>
      <c r="H8" s="4">
        <v>8</v>
      </c>
      <c r="I8" s="7">
        <v>9</v>
      </c>
      <c r="J8" s="8">
        <v>10</v>
      </c>
    </row>
    <row r="9" spans="1:12" s="10" customFormat="1" ht="28.5" customHeight="1" thickBot="1" x14ac:dyDescent="0.3">
      <c r="A9" s="9">
        <v>1</v>
      </c>
      <c r="B9" s="70" t="s">
        <v>15</v>
      </c>
      <c r="C9" s="70"/>
      <c r="D9" s="70"/>
      <c r="E9" s="70"/>
      <c r="F9" s="70"/>
      <c r="G9" s="70"/>
      <c r="H9" s="70"/>
      <c r="I9" s="70"/>
      <c r="J9" s="79"/>
    </row>
    <row r="10" spans="1:12" s="10" customFormat="1" ht="28.5" customHeight="1" thickBot="1" x14ac:dyDescent="0.3">
      <c r="A10" s="9" t="s">
        <v>16</v>
      </c>
      <c r="B10" s="70" t="s">
        <v>17</v>
      </c>
      <c r="C10" s="70"/>
      <c r="D10" s="70"/>
      <c r="E10" s="70"/>
      <c r="F10" s="50">
        <f>SUM(F11:F16)</f>
        <v>923625</v>
      </c>
      <c r="G10" s="11"/>
      <c r="H10" s="50">
        <f t="shared" ref="H10:J10" si="0">SUM(H11:H16)</f>
        <v>548045</v>
      </c>
      <c r="I10" s="11"/>
      <c r="J10" s="54">
        <f t="shared" si="0"/>
        <v>375580</v>
      </c>
    </row>
    <row r="11" spans="1:12" ht="30.75" customHeight="1" x14ac:dyDescent="0.25">
      <c r="A11" s="13" t="s">
        <v>18</v>
      </c>
      <c r="B11" s="14" t="s">
        <v>19</v>
      </c>
      <c r="C11" s="15" t="s">
        <v>20</v>
      </c>
      <c r="D11" s="15">
        <v>1</v>
      </c>
      <c r="E11" s="51">
        <v>30000</v>
      </c>
      <c r="F11" s="51">
        <f t="shared" ref="F11:F16" si="1">D11*E11</f>
        <v>30000</v>
      </c>
      <c r="G11" s="15">
        <v>0.5</v>
      </c>
      <c r="H11" s="51">
        <f>E11*G11</f>
        <v>15000</v>
      </c>
      <c r="I11" s="15">
        <f>D11-G11</f>
        <v>0.5</v>
      </c>
      <c r="J11" s="51">
        <f>I11*E11</f>
        <v>15000</v>
      </c>
    </row>
    <row r="12" spans="1:12" ht="42.75" customHeight="1" x14ac:dyDescent="0.25">
      <c r="A12" s="17" t="s">
        <v>21</v>
      </c>
      <c r="B12" s="18" t="s">
        <v>22</v>
      </c>
      <c r="C12" s="19" t="s">
        <v>23</v>
      </c>
      <c r="D12" s="19">
        <f>(5100*35)/10000</f>
        <v>17.850000000000001</v>
      </c>
      <c r="E12" s="19">
        <v>500</v>
      </c>
      <c r="F12" s="52">
        <f t="shared" si="1"/>
        <v>8925</v>
      </c>
      <c r="G12" s="19">
        <f>(2540*35)/10000</f>
        <v>8.89</v>
      </c>
      <c r="H12" s="51">
        <f>E12*G12</f>
        <v>4445</v>
      </c>
      <c r="I12" s="19">
        <f>D12-G12</f>
        <v>8.9600000000000009</v>
      </c>
      <c r="J12" s="51">
        <f t="shared" ref="J12:J39" si="2">I12*E12</f>
        <v>4480</v>
      </c>
      <c r="K12" s="67"/>
      <c r="L12" s="67"/>
    </row>
    <row r="13" spans="1:12" ht="42.75" customHeight="1" x14ac:dyDescent="0.25">
      <c r="A13" s="17" t="s">
        <v>24</v>
      </c>
      <c r="B13" s="18" t="s">
        <v>25</v>
      </c>
      <c r="C13" s="19" t="s">
        <v>26</v>
      </c>
      <c r="D13" s="52">
        <f>(4330)*15</f>
        <v>64950</v>
      </c>
      <c r="E13" s="19">
        <v>5</v>
      </c>
      <c r="F13" s="52">
        <f t="shared" si="1"/>
        <v>324750</v>
      </c>
      <c r="G13" s="52">
        <f>(2540)*15</f>
        <v>38100</v>
      </c>
      <c r="H13" s="51">
        <f>E13*G13</f>
        <v>190500</v>
      </c>
      <c r="I13" s="51">
        <f t="shared" ref="I13:I39" si="3">D13-G13</f>
        <v>26850</v>
      </c>
      <c r="J13" s="51">
        <f t="shared" si="2"/>
        <v>134250</v>
      </c>
      <c r="K13" s="67"/>
      <c r="L13" s="67"/>
    </row>
    <row r="14" spans="1:12" ht="39" customHeight="1" x14ac:dyDescent="0.25">
      <c r="A14" s="17" t="s">
        <v>27</v>
      </c>
      <c r="B14" s="18" t="s">
        <v>28</v>
      </c>
      <c r="C14" s="19" t="s">
        <v>26</v>
      </c>
      <c r="D14" s="52">
        <f>D13</f>
        <v>64950</v>
      </c>
      <c r="E14" s="19">
        <v>1</v>
      </c>
      <c r="F14" s="52">
        <f t="shared" si="1"/>
        <v>64950</v>
      </c>
      <c r="G14" s="52">
        <f>(2540)*15</f>
        <v>38100</v>
      </c>
      <c r="H14" s="51">
        <f t="shared" ref="H14:H39" si="4">E14*G14</f>
        <v>38100</v>
      </c>
      <c r="I14" s="51">
        <f t="shared" si="3"/>
        <v>26850</v>
      </c>
      <c r="J14" s="51">
        <f t="shared" si="2"/>
        <v>26850</v>
      </c>
      <c r="K14" s="67"/>
      <c r="L14" s="67"/>
    </row>
    <row r="15" spans="1:12" ht="73.5" customHeight="1" x14ac:dyDescent="0.25">
      <c r="A15" s="17" t="s">
        <v>29</v>
      </c>
      <c r="B15" s="18" t="s">
        <v>30</v>
      </c>
      <c r="C15" s="19" t="s">
        <v>31</v>
      </c>
      <c r="D15" s="52">
        <v>25000</v>
      </c>
      <c r="E15" s="19">
        <v>15</v>
      </c>
      <c r="F15" s="52">
        <f t="shared" si="1"/>
        <v>375000</v>
      </c>
      <c r="G15" s="52">
        <f>12000</f>
        <v>12000</v>
      </c>
      <c r="H15" s="51">
        <f>E15*G15</f>
        <v>180000</v>
      </c>
      <c r="I15" s="51">
        <f>D15-G15</f>
        <v>13000</v>
      </c>
      <c r="J15" s="51">
        <f>I15*E15</f>
        <v>195000</v>
      </c>
    </row>
    <row r="16" spans="1:12" ht="72" customHeight="1" thickBot="1" x14ac:dyDescent="0.3">
      <c r="A16" s="21" t="s">
        <v>32</v>
      </c>
      <c r="B16" s="22" t="s">
        <v>33</v>
      </c>
      <c r="C16" s="23" t="s">
        <v>34</v>
      </c>
      <c r="D16" s="23">
        <v>400</v>
      </c>
      <c r="E16" s="23">
        <v>300</v>
      </c>
      <c r="F16" s="53">
        <f t="shared" si="1"/>
        <v>120000</v>
      </c>
      <c r="G16" s="23">
        <v>400</v>
      </c>
      <c r="H16" s="51">
        <f>E16*G16</f>
        <v>120000</v>
      </c>
      <c r="I16" s="23">
        <f>D16-G16</f>
        <v>0</v>
      </c>
      <c r="J16" s="51">
        <f>I16*E16</f>
        <v>0</v>
      </c>
    </row>
    <row r="17" spans="1:12" s="10" customFormat="1" ht="28.5" customHeight="1" x14ac:dyDescent="0.25">
      <c r="A17" s="25" t="s">
        <v>35</v>
      </c>
      <c r="B17" s="70" t="s">
        <v>36</v>
      </c>
      <c r="C17" s="70"/>
      <c r="D17" s="70"/>
      <c r="E17" s="70"/>
      <c r="F17" s="50">
        <f>SUM(F18:F20)</f>
        <v>356400</v>
      </c>
      <c r="G17" s="26"/>
      <c r="H17" s="50">
        <f t="shared" ref="H17:J17" si="5">SUM(H18:H20)</f>
        <v>189900</v>
      </c>
      <c r="I17" s="26"/>
      <c r="J17" s="54">
        <f t="shared" si="5"/>
        <v>166500</v>
      </c>
      <c r="K17" s="1"/>
      <c r="L17" s="1"/>
    </row>
    <row r="18" spans="1:12" ht="72" customHeight="1" x14ac:dyDescent="0.25">
      <c r="A18" s="13" t="s">
        <v>37</v>
      </c>
      <c r="B18" s="14" t="s">
        <v>38</v>
      </c>
      <c r="C18" s="15" t="s">
        <v>34</v>
      </c>
      <c r="D18" s="52">
        <f>5100-1060</f>
        <v>4040</v>
      </c>
      <c r="E18" s="15">
        <v>35</v>
      </c>
      <c r="F18" s="52">
        <f t="shared" ref="F18:F39" si="6">D18*E18</f>
        <v>141400</v>
      </c>
      <c r="G18" s="52">
        <v>2140</v>
      </c>
      <c r="H18" s="52">
        <f>E18*G18</f>
        <v>74900</v>
      </c>
      <c r="I18" s="15">
        <f t="shared" si="3"/>
        <v>1900</v>
      </c>
      <c r="J18" s="52">
        <f t="shared" si="2"/>
        <v>66500</v>
      </c>
      <c r="K18" s="67"/>
      <c r="L18" s="67"/>
    </row>
    <row r="19" spans="1:12" ht="122.25" customHeight="1" x14ac:dyDescent="0.25">
      <c r="A19" s="17" t="s">
        <v>39</v>
      </c>
      <c r="B19" s="18" t="s">
        <v>40</v>
      </c>
      <c r="C19" s="19" t="s">
        <v>41</v>
      </c>
      <c r="D19" s="19">
        <v>5</v>
      </c>
      <c r="E19" s="52">
        <v>35000</v>
      </c>
      <c r="F19" s="52">
        <f t="shared" si="6"/>
        <v>175000</v>
      </c>
      <c r="G19" s="19">
        <v>3</v>
      </c>
      <c r="H19" s="52">
        <f t="shared" si="4"/>
        <v>105000</v>
      </c>
      <c r="I19" s="19">
        <f t="shared" si="3"/>
        <v>2</v>
      </c>
      <c r="J19" s="52">
        <f t="shared" si="2"/>
        <v>70000</v>
      </c>
    </row>
    <row r="20" spans="1:12" ht="60.75" customHeight="1" thickBot="1" x14ac:dyDescent="0.3">
      <c r="A20" s="21" t="s">
        <v>42</v>
      </c>
      <c r="B20" s="22" t="s">
        <v>43</v>
      </c>
      <c r="C20" s="23" t="s">
        <v>41</v>
      </c>
      <c r="D20" s="23">
        <v>4</v>
      </c>
      <c r="E20" s="52">
        <v>10000</v>
      </c>
      <c r="F20" s="52">
        <f t="shared" si="6"/>
        <v>40000</v>
      </c>
      <c r="G20" s="23">
        <v>1</v>
      </c>
      <c r="H20" s="52">
        <f t="shared" si="4"/>
        <v>10000</v>
      </c>
      <c r="I20" s="23">
        <f t="shared" si="3"/>
        <v>3</v>
      </c>
      <c r="J20" s="52">
        <f t="shared" si="2"/>
        <v>30000</v>
      </c>
    </row>
    <row r="21" spans="1:12" s="10" customFormat="1" ht="28.5" customHeight="1" x14ac:dyDescent="0.25">
      <c r="A21" s="25" t="s">
        <v>44</v>
      </c>
      <c r="B21" s="70" t="s">
        <v>45</v>
      </c>
      <c r="C21" s="70"/>
      <c r="D21" s="70"/>
      <c r="E21" s="70"/>
      <c r="F21" s="50">
        <f>SUM(F22:F27)</f>
        <v>2295300</v>
      </c>
      <c r="G21" s="26"/>
      <c r="H21" s="50">
        <f t="shared" ref="H21:J21" si="7">SUM(H22:H27)</f>
        <v>1974980</v>
      </c>
      <c r="I21" s="26"/>
      <c r="J21" s="54">
        <f t="shared" si="7"/>
        <v>320320</v>
      </c>
      <c r="K21" s="1"/>
      <c r="L21" s="1"/>
    </row>
    <row r="22" spans="1:12" ht="43.5" customHeight="1" x14ac:dyDescent="0.25">
      <c r="A22" s="13" t="s">
        <v>46</v>
      </c>
      <c r="B22" s="14" t="s">
        <v>47</v>
      </c>
      <c r="C22" s="15" t="s">
        <v>31</v>
      </c>
      <c r="D22" s="52">
        <f>(2400-960)*15*0.2</f>
        <v>4320</v>
      </c>
      <c r="E22" s="15">
        <v>15</v>
      </c>
      <c r="F22" s="52">
        <f t="shared" si="6"/>
        <v>64800</v>
      </c>
      <c r="G22" s="52">
        <f>(800+640)*15*0.2</f>
        <v>4320</v>
      </c>
      <c r="H22" s="52">
        <f t="shared" si="4"/>
        <v>64800</v>
      </c>
      <c r="I22" s="15">
        <f t="shared" si="3"/>
        <v>0</v>
      </c>
      <c r="J22" s="16">
        <f t="shared" si="2"/>
        <v>0</v>
      </c>
    </row>
    <row r="23" spans="1:12" ht="47.25" customHeight="1" x14ac:dyDescent="0.25">
      <c r="A23" s="17" t="s">
        <v>48</v>
      </c>
      <c r="B23" s="18" t="s">
        <v>49</v>
      </c>
      <c r="C23" s="19" t="s">
        <v>26</v>
      </c>
      <c r="D23" s="52">
        <f>(2400-960)*15</f>
        <v>21600</v>
      </c>
      <c r="E23" s="19">
        <v>10</v>
      </c>
      <c r="F23" s="52">
        <f>D23*E23</f>
        <v>216000</v>
      </c>
      <c r="G23" s="52">
        <f>(2400-960)*15</f>
        <v>21600</v>
      </c>
      <c r="H23" s="52">
        <f t="shared" si="4"/>
        <v>216000</v>
      </c>
      <c r="I23" s="19">
        <f t="shared" si="3"/>
        <v>0</v>
      </c>
      <c r="J23" s="20">
        <f t="shared" si="2"/>
        <v>0</v>
      </c>
    </row>
    <row r="24" spans="1:12" ht="45.75" customHeight="1" x14ac:dyDescent="0.25">
      <c r="A24" s="17" t="s">
        <v>50</v>
      </c>
      <c r="B24" s="18" t="s">
        <v>51</v>
      </c>
      <c r="C24" s="19" t="s">
        <v>31</v>
      </c>
      <c r="D24" s="52">
        <f>D23*0.8</f>
        <v>17280</v>
      </c>
      <c r="E24" s="19">
        <v>15</v>
      </c>
      <c r="F24" s="52">
        <f>D24*E24</f>
        <v>259200</v>
      </c>
      <c r="G24" s="52">
        <f>G23*0.8</f>
        <v>17280</v>
      </c>
      <c r="H24" s="52">
        <f t="shared" si="4"/>
        <v>259200</v>
      </c>
      <c r="I24" s="19">
        <f t="shared" si="3"/>
        <v>0</v>
      </c>
      <c r="J24" s="20">
        <f t="shared" si="2"/>
        <v>0</v>
      </c>
    </row>
    <row r="25" spans="1:12" ht="64.5" customHeight="1" x14ac:dyDescent="0.25">
      <c r="A25" s="17" t="s">
        <v>52</v>
      </c>
      <c r="B25" s="18" t="s">
        <v>53</v>
      </c>
      <c r="C25" s="19" t="s">
        <v>26</v>
      </c>
      <c r="D25" s="52">
        <f>2400*20</f>
        <v>48000</v>
      </c>
      <c r="E25" s="19">
        <v>3</v>
      </c>
      <c r="F25" s="52">
        <f>D25*E25</f>
        <v>144000</v>
      </c>
      <c r="G25" s="52">
        <f>(2400-560)*20</f>
        <v>36800</v>
      </c>
      <c r="H25" s="52">
        <f t="shared" si="4"/>
        <v>110400</v>
      </c>
      <c r="I25" s="52">
        <f>D25-G25</f>
        <v>11200</v>
      </c>
      <c r="J25" s="52">
        <f t="shared" si="2"/>
        <v>33600</v>
      </c>
      <c r="K25" s="68"/>
      <c r="L25" s="68"/>
    </row>
    <row r="26" spans="1:12" ht="54" customHeight="1" x14ac:dyDescent="0.25">
      <c r="A26" s="17" t="s">
        <v>54</v>
      </c>
      <c r="B26" s="18" t="s">
        <v>55</v>
      </c>
      <c r="C26" s="19" t="s">
        <v>31</v>
      </c>
      <c r="D26" s="52">
        <f>2400*16*0.8</f>
        <v>30720</v>
      </c>
      <c r="E26" s="19">
        <v>40</v>
      </c>
      <c r="F26" s="52">
        <f>D26*E26</f>
        <v>1228800</v>
      </c>
      <c r="G26" s="52">
        <f>(2400-560)*16*0.8</f>
        <v>23552</v>
      </c>
      <c r="H26" s="52">
        <f t="shared" si="4"/>
        <v>942080</v>
      </c>
      <c r="I26" s="52">
        <f t="shared" si="3"/>
        <v>7168</v>
      </c>
      <c r="J26" s="52">
        <f t="shared" si="2"/>
        <v>286720</v>
      </c>
      <c r="K26" s="68"/>
      <c r="L26" s="68"/>
    </row>
    <row r="27" spans="1:12" ht="46.5" customHeight="1" thickBot="1" x14ac:dyDescent="0.3">
      <c r="A27" s="21" t="s">
        <v>56</v>
      </c>
      <c r="B27" s="22" t="s">
        <v>57</v>
      </c>
      <c r="C27" s="23" t="s">
        <v>34</v>
      </c>
      <c r="D27" s="23">
        <v>765</v>
      </c>
      <c r="E27" s="23">
        <v>500</v>
      </c>
      <c r="F27" s="52">
        <f>D27*E27</f>
        <v>382500</v>
      </c>
      <c r="G27" s="23">
        <v>765</v>
      </c>
      <c r="H27" s="52">
        <f>E27*G27</f>
        <v>382500</v>
      </c>
      <c r="I27" s="23">
        <f t="shared" si="3"/>
        <v>0</v>
      </c>
      <c r="J27" s="24">
        <f t="shared" si="2"/>
        <v>0</v>
      </c>
    </row>
    <row r="28" spans="1:12" s="10" customFormat="1" ht="28.5" customHeight="1" x14ac:dyDescent="0.25">
      <c r="A28" s="25" t="s">
        <v>58</v>
      </c>
      <c r="B28" s="70" t="s">
        <v>59</v>
      </c>
      <c r="C28" s="70"/>
      <c r="D28" s="70"/>
      <c r="E28" s="70"/>
      <c r="F28" s="50">
        <f>SUM(F29:F36)</f>
        <v>4931395</v>
      </c>
      <c r="G28" s="26"/>
      <c r="H28" s="50">
        <f t="shared" ref="H28:J28" si="8">SUM(H29:H36)</f>
        <v>1916050</v>
      </c>
      <c r="I28" s="26"/>
      <c r="J28" s="54">
        <f t="shared" si="8"/>
        <v>3015345</v>
      </c>
      <c r="K28" s="1"/>
      <c r="L28" s="1"/>
    </row>
    <row r="29" spans="1:12" ht="35.25" customHeight="1" x14ac:dyDescent="0.25">
      <c r="A29" s="13" t="s">
        <v>60</v>
      </c>
      <c r="B29" s="14" t="s">
        <v>61</v>
      </c>
      <c r="C29" s="15" t="s">
        <v>34</v>
      </c>
      <c r="D29" s="51">
        <v>400</v>
      </c>
      <c r="E29" s="15">
        <v>500</v>
      </c>
      <c r="F29" s="51">
        <f>D29*E29</f>
        <v>200000</v>
      </c>
      <c r="G29" s="51">
        <v>400</v>
      </c>
      <c r="H29" s="51">
        <f>E29*G29</f>
        <v>200000</v>
      </c>
      <c r="I29" s="15">
        <f>D29-G29</f>
        <v>0</v>
      </c>
      <c r="J29" s="16">
        <f>I29*E29</f>
        <v>0</v>
      </c>
    </row>
    <row r="30" spans="1:12" ht="40.5" customHeight="1" x14ac:dyDescent="0.25">
      <c r="A30" s="17" t="s">
        <v>62</v>
      </c>
      <c r="B30" s="18" t="s">
        <v>63</v>
      </c>
      <c r="C30" s="23" t="s">
        <v>31</v>
      </c>
      <c r="D30" s="52">
        <f>(1930)*15*0.2</f>
        <v>5790</v>
      </c>
      <c r="E30" s="19">
        <v>15</v>
      </c>
      <c r="F30" s="52">
        <f t="shared" ref="F30" si="9">D30*E30</f>
        <v>86850</v>
      </c>
      <c r="G30" s="52">
        <f>700*15*0.2</f>
        <v>2100</v>
      </c>
      <c r="H30" s="52">
        <f t="shared" ref="H30:H36" si="10">E30*G30</f>
        <v>31500</v>
      </c>
      <c r="I30" s="52">
        <f>D30-G30</f>
        <v>3690</v>
      </c>
      <c r="J30" s="55">
        <f t="shared" ref="J30:J36" si="11">I30*E30</f>
        <v>55350</v>
      </c>
      <c r="K30" s="67"/>
      <c r="L30" s="67"/>
    </row>
    <row r="31" spans="1:12" ht="47.25" customHeight="1" x14ac:dyDescent="0.25">
      <c r="A31" s="17" t="s">
        <v>64</v>
      </c>
      <c r="B31" s="18" t="s">
        <v>65</v>
      </c>
      <c r="C31" s="19" t="s">
        <v>26</v>
      </c>
      <c r="D31" s="52">
        <f>(1930)*15</f>
        <v>28950</v>
      </c>
      <c r="E31" s="19">
        <v>10</v>
      </c>
      <c r="F31" s="52">
        <f>D31*E31</f>
        <v>289500</v>
      </c>
      <c r="G31" s="52">
        <f>(700)*15</f>
        <v>10500</v>
      </c>
      <c r="H31" s="52">
        <f t="shared" si="10"/>
        <v>105000</v>
      </c>
      <c r="I31" s="52">
        <f t="shared" ref="I31:I32" si="12">D31-G31</f>
        <v>18450</v>
      </c>
      <c r="J31" s="55">
        <f t="shared" si="11"/>
        <v>184500</v>
      </c>
      <c r="K31" s="67"/>
      <c r="L31" s="67"/>
    </row>
    <row r="32" spans="1:12" ht="35.25" customHeight="1" x14ac:dyDescent="0.25">
      <c r="A32" s="17" t="s">
        <v>66</v>
      </c>
      <c r="B32" s="18" t="s">
        <v>51</v>
      </c>
      <c r="C32" s="23" t="s">
        <v>31</v>
      </c>
      <c r="D32" s="52">
        <f>D31*0.8</f>
        <v>23160</v>
      </c>
      <c r="E32" s="19">
        <v>12</v>
      </c>
      <c r="F32" s="52">
        <f>D32*E32</f>
        <v>277920</v>
      </c>
      <c r="G32" s="52">
        <f>G31*0.8</f>
        <v>8400</v>
      </c>
      <c r="H32" s="52">
        <f t="shared" si="10"/>
        <v>100800</v>
      </c>
      <c r="I32" s="52">
        <f t="shared" si="12"/>
        <v>14760</v>
      </c>
      <c r="J32" s="55">
        <f t="shared" si="11"/>
        <v>177120</v>
      </c>
      <c r="K32" s="67"/>
      <c r="L32" s="67"/>
    </row>
    <row r="33" spans="1:12" ht="64.5" customHeight="1" x14ac:dyDescent="0.25">
      <c r="A33" s="17" t="s">
        <v>67</v>
      </c>
      <c r="B33" s="18" t="s">
        <v>53</v>
      </c>
      <c r="C33" s="19" t="s">
        <v>26</v>
      </c>
      <c r="D33" s="52">
        <f>1930*20</f>
        <v>38600</v>
      </c>
      <c r="E33" s="19">
        <v>3</v>
      </c>
      <c r="F33" s="52">
        <f>D33*E33</f>
        <v>115800</v>
      </c>
      <c r="G33" s="52">
        <f>(700)*20</f>
        <v>14000</v>
      </c>
      <c r="H33" s="52">
        <f t="shared" si="10"/>
        <v>42000</v>
      </c>
      <c r="I33" s="52">
        <f>D33-G33</f>
        <v>24600</v>
      </c>
      <c r="J33" s="55">
        <f t="shared" si="11"/>
        <v>73800</v>
      </c>
      <c r="K33" s="67"/>
      <c r="L33" s="67"/>
    </row>
    <row r="34" spans="1:12" ht="45.75" customHeight="1" x14ac:dyDescent="0.25">
      <c r="A34" s="17" t="s">
        <v>68</v>
      </c>
      <c r="B34" s="18" t="s">
        <v>69</v>
      </c>
      <c r="C34" s="19" t="s">
        <v>34</v>
      </c>
      <c r="D34" s="52">
        <v>1930</v>
      </c>
      <c r="E34" s="19">
        <v>500</v>
      </c>
      <c r="F34" s="52">
        <f t="shared" ref="F34:F36" si="13">D34*E34</f>
        <v>965000</v>
      </c>
      <c r="G34" s="52">
        <v>700</v>
      </c>
      <c r="H34" s="52">
        <f t="shared" si="10"/>
        <v>350000</v>
      </c>
      <c r="I34" s="52">
        <f t="shared" ref="I34:I36" si="14">D34-G34</f>
        <v>1230</v>
      </c>
      <c r="J34" s="55">
        <f t="shared" si="11"/>
        <v>615000</v>
      </c>
      <c r="K34" s="67"/>
      <c r="L34" s="67"/>
    </row>
    <row r="35" spans="1:12" ht="54" customHeight="1" x14ac:dyDescent="0.25">
      <c r="A35" s="17" t="s">
        <v>70</v>
      </c>
      <c r="B35" s="18" t="s">
        <v>71</v>
      </c>
      <c r="C35" s="23" t="s">
        <v>31</v>
      </c>
      <c r="D35" s="52">
        <f>1930*15*0.1</f>
        <v>2895</v>
      </c>
      <c r="E35" s="19">
        <v>35</v>
      </c>
      <c r="F35" s="52">
        <f t="shared" si="13"/>
        <v>101325</v>
      </c>
      <c r="G35" s="52">
        <f>700*15*0.1</f>
        <v>1050</v>
      </c>
      <c r="H35" s="52">
        <f t="shared" si="10"/>
        <v>36750</v>
      </c>
      <c r="I35" s="52">
        <f t="shared" si="14"/>
        <v>1845</v>
      </c>
      <c r="J35" s="55">
        <f t="shared" si="11"/>
        <v>64575</v>
      </c>
      <c r="K35" s="67"/>
      <c r="L35" s="67"/>
    </row>
    <row r="36" spans="1:12" ht="45.75" customHeight="1" thickBot="1" x14ac:dyDescent="0.3">
      <c r="A36" s="21" t="s">
        <v>72</v>
      </c>
      <c r="B36" s="22" t="s">
        <v>73</v>
      </c>
      <c r="C36" s="23" t="s">
        <v>31</v>
      </c>
      <c r="D36" s="53">
        <f>1930*15*0.2</f>
        <v>5790</v>
      </c>
      <c r="E36" s="23">
        <v>500</v>
      </c>
      <c r="F36" s="53">
        <f t="shared" si="13"/>
        <v>2895000</v>
      </c>
      <c r="G36" s="53">
        <f>700*15*0.2</f>
        <v>2100</v>
      </c>
      <c r="H36" s="53">
        <f t="shared" si="10"/>
        <v>1050000</v>
      </c>
      <c r="I36" s="53">
        <f t="shared" si="14"/>
        <v>3690</v>
      </c>
      <c r="J36" s="56">
        <f t="shared" si="11"/>
        <v>1845000</v>
      </c>
      <c r="K36" s="67"/>
      <c r="L36" s="67"/>
    </row>
    <row r="37" spans="1:12" s="10" customFormat="1" ht="28.5" customHeight="1" x14ac:dyDescent="0.25">
      <c r="A37" s="25" t="s">
        <v>74</v>
      </c>
      <c r="B37" s="70" t="s">
        <v>75</v>
      </c>
      <c r="C37" s="70"/>
      <c r="D37" s="70"/>
      <c r="E37" s="70"/>
      <c r="F37" s="50">
        <f>SUM(F38:F39)</f>
        <v>1062000</v>
      </c>
      <c r="G37" s="26"/>
      <c r="H37" s="50">
        <f t="shared" ref="H37:J37" si="15">SUM(H38:H39)</f>
        <v>150000</v>
      </c>
      <c r="I37" s="26"/>
      <c r="J37" s="54">
        <f t="shared" si="15"/>
        <v>912000</v>
      </c>
      <c r="K37" s="1"/>
      <c r="L37" s="1"/>
    </row>
    <row r="38" spans="1:12" ht="35.25" customHeight="1" x14ac:dyDescent="0.25">
      <c r="A38" s="13" t="s">
        <v>76</v>
      </c>
      <c r="B38" s="14" t="s">
        <v>77</v>
      </c>
      <c r="C38" s="23" t="s">
        <v>26</v>
      </c>
      <c r="D38" s="52">
        <f>5100*10</f>
        <v>51000</v>
      </c>
      <c r="E38" s="15">
        <v>10</v>
      </c>
      <c r="F38" s="52">
        <f t="shared" si="6"/>
        <v>510000</v>
      </c>
      <c r="G38" s="51">
        <v>15000</v>
      </c>
      <c r="H38" s="51">
        <f t="shared" si="4"/>
        <v>150000</v>
      </c>
      <c r="I38" s="51">
        <f t="shared" si="3"/>
        <v>36000</v>
      </c>
      <c r="J38" s="57">
        <f t="shared" si="2"/>
        <v>360000</v>
      </c>
      <c r="K38" s="67"/>
      <c r="L38" s="67"/>
    </row>
    <row r="39" spans="1:12" ht="35.25" customHeight="1" thickBot="1" x14ac:dyDescent="0.3">
      <c r="A39" s="21" t="s">
        <v>78</v>
      </c>
      <c r="B39" s="22" t="s">
        <v>79</v>
      </c>
      <c r="C39" s="23" t="s">
        <v>26</v>
      </c>
      <c r="D39" s="52">
        <f>4600*4</f>
        <v>18400</v>
      </c>
      <c r="E39" s="23">
        <v>30</v>
      </c>
      <c r="F39" s="52">
        <f t="shared" si="6"/>
        <v>552000</v>
      </c>
      <c r="G39" s="53">
        <v>0</v>
      </c>
      <c r="H39" s="53">
        <f t="shared" si="4"/>
        <v>0</v>
      </c>
      <c r="I39" s="53">
        <f t="shared" si="3"/>
        <v>18400</v>
      </c>
      <c r="J39" s="56">
        <f t="shared" si="2"/>
        <v>552000</v>
      </c>
    </row>
    <row r="40" spans="1:12" ht="18" customHeight="1" thickBot="1" x14ac:dyDescent="0.3">
      <c r="A40" s="81" t="s">
        <v>80</v>
      </c>
      <c r="B40" s="82"/>
      <c r="C40" s="82"/>
      <c r="D40" s="82"/>
      <c r="E40" s="82"/>
      <c r="F40" s="50">
        <f>SUM(F37,F28,F21,F17,F10)</f>
        <v>9568720</v>
      </c>
      <c r="G40" s="26"/>
      <c r="H40" s="50">
        <f>SUM(H37,H28,H21,H17,H10)</f>
        <v>4778975</v>
      </c>
      <c r="I40" s="26"/>
      <c r="J40" s="54">
        <f>SUM(J37,J28,J21,J17,J10)</f>
        <v>4789745</v>
      </c>
    </row>
    <row r="41" spans="1:12" s="10" customFormat="1" ht="28.5" customHeight="1" x14ac:dyDescent="0.25">
      <c r="A41" s="9">
        <v>2</v>
      </c>
      <c r="B41" s="70" t="s">
        <v>81</v>
      </c>
      <c r="C41" s="70"/>
      <c r="D41" s="70"/>
      <c r="E41" s="70"/>
      <c r="F41" s="70"/>
      <c r="G41" s="70"/>
      <c r="H41" s="70"/>
      <c r="I41" s="70"/>
      <c r="J41" s="79"/>
      <c r="K41" s="1"/>
      <c r="L41" s="1"/>
    </row>
    <row r="42" spans="1:12" s="10" customFormat="1" ht="28.5" customHeight="1" x14ac:dyDescent="0.25">
      <c r="A42" s="9" t="s">
        <v>82</v>
      </c>
      <c r="B42" s="70" t="s">
        <v>17</v>
      </c>
      <c r="C42" s="70"/>
      <c r="D42" s="70"/>
      <c r="E42" s="70"/>
      <c r="F42" s="50">
        <f>SUM(F43)</f>
        <v>10000</v>
      </c>
      <c r="G42" s="11"/>
      <c r="H42" s="50">
        <f>SUM(H43)</f>
        <v>10000</v>
      </c>
      <c r="I42" s="11"/>
      <c r="J42" s="12">
        <f>SUM(J43)</f>
        <v>0</v>
      </c>
      <c r="K42" s="1"/>
      <c r="L42" s="1"/>
    </row>
    <row r="43" spans="1:12" ht="30.75" customHeight="1" thickBot="1" x14ac:dyDescent="0.3">
      <c r="A43" s="28" t="s">
        <v>83</v>
      </c>
      <c r="B43" s="29" t="s">
        <v>84</v>
      </c>
      <c r="C43" s="30" t="s">
        <v>20</v>
      </c>
      <c r="D43" s="30">
        <v>1</v>
      </c>
      <c r="E43" s="60">
        <v>10000</v>
      </c>
      <c r="F43" s="60">
        <f>D43*E43</f>
        <v>10000</v>
      </c>
      <c r="G43" s="60">
        <v>1</v>
      </c>
      <c r="H43" s="60">
        <f>E43*G43</f>
        <v>10000</v>
      </c>
      <c r="I43" s="30">
        <f>D43-G43</f>
        <v>0</v>
      </c>
      <c r="J43" s="31">
        <f>I43*E43</f>
        <v>0</v>
      </c>
    </row>
    <row r="44" spans="1:12" s="10" customFormat="1" ht="28.5" customHeight="1" x14ac:dyDescent="0.25">
      <c r="A44" s="25" t="s">
        <v>85</v>
      </c>
      <c r="B44" s="70" t="s">
        <v>36</v>
      </c>
      <c r="C44" s="70"/>
      <c r="D44" s="70"/>
      <c r="E44" s="70"/>
      <c r="F44" s="59">
        <f>SUM(F45:F46)</f>
        <v>250000</v>
      </c>
      <c r="G44" s="59"/>
      <c r="H44" s="59">
        <f>SUM(H45:H46)</f>
        <v>250000</v>
      </c>
      <c r="I44" s="26"/>
      <c r="J44" s="27">
        <f>SUM(J45:J46)</f>
        <v>0</v>
      </c>
      <c r="K44" s="1"/>
      <c r="L44" s="1"/>
    </row>
    <row r="45" spans="1:12" ht="63.75" customHeight="1" x14ac:dyDescent="0.25">
      <c r="A45" s="13" t="s">
        <v>86</v>
      </c>
      <c r="B45" s="14" t="s">
        <v>43</v>
      </c>
      <c r="C45" s="15" t="s">
        <v>41</v>
      </c>
      <c r="D45" s="15">
        <v>5</v>
      </c>
      <c r="E45" s="51">
        <v>35000</v>
      </c>
      <c r="F45" s="51">
        <f t="shared" ref="F45:F46" si="16">D45*E45</f>
        <v>175000</v>
      </c>
      <c r="G45" s="51">
        <f>D45</f>
        <v>5</v>
      </c>
      <c r="H45" s="51">
        <f>F45</f>
        <v>175000</v>
      </c>
      <c r="I45" s="15">
        <f t="shared" ref="I45:I46" si="17">D45-G45</f>
        <v>0</v>
      </c>
      <c r="J45" s="16">
        <f>I45*E45</f>
        <v>0</v>
      </c>
    </row>
    <row r="46" spans="1:12" ht="39.75" customHeight="1" thickBot="1" x14ac:dyDescent="0.3">
      <c r="A46" s="32" t="s">
        <v>87</v>
      </c>
      <c r="B46" s="33" t="s">
        <v>88</v>
      </c>
      <c r="C46" s="34" t="s">
        <v>41</v>
      </c>
      <c r="D46" s="34">
        <v>5</v>
      </c>
      <c r="E46" s="58">
        <v>15000</v>
      </c>
      <c r="F46" s="58">
        <f t="shared" si="16"/>
        <v>75000</v>
      </c>
      <c r="G46" s="58">
        <f>D46</f>
        <v>5</v>
      </c>
      <c r="H46" s="58">
        <f>F46</f>
        <v>75000</v>
      </c>
      <c r="I46" s="34">
        <f t="shared" si="17"/>
        <v>0</v>
      </c>
      <c r="J46" s="35">
        <f t="shared" ref="J46" si="18">I46*E46</f>
        <v>0</v>
      </c>
    </row>
    <row r="47" spans="1:12" ht="39.75" customHeight="1" thickBot="1" x14ac:dyDescent="0.3">
      <c r="A47" s="81" t="s">
        <v>80</v>
      </c>
      <c r="B47" s="82"/>
      <c r="C47" s="82"/>
      <c r="D47" s="82"/>
      <c r="E47" s="82"/>
      <c r="F47" s="50">
        <f>SUM(F42,F44)</f>
        <v>260000</v>
      </c>
      <c r="G47" s="26">
        <f t="shared" ref="G47:J47" si="19">SUM(G42,G44)</f>
        <v>0</v>
      </c>
      <c r="H47" s="50">
        <f>SUM(H42,H44)</f>
        <v>260000</v>
      </c>
      <c r="I47" s="26">
        <f t="shared" si="19"/>
        <v>0</v>
      </c>
      <c r="J47" s="27">
        <f t="shared" si="19"/>
        <v>0</v>
      </c>
    </row>
    <row r="48" spans="1:12" s="10" customFormat="1" ht="28.5" customHeight="1" x14ac:dyDescent="0.25">
      <c r="A48" s="83" t="s">
        <v>89</v>
      </c>
      <c r="B48" s="84"/>
      <c r="C48" s="84"/>
      <c r="D48" s="84"/>
      <c r="E48" s="84"/>
      <c r="F48" s="84"/>
      <c r="G48" s="84"/>
      <c r="H48" s="84"/>
      <c r="I48" s="84"/>
      <c r="J48" s="85"/>
      <c r="K48" s="1"/>
      <c r="L48" s="1"/>
    </row>
    <row r="49" spans="1:10" ht="30.75" customHeight="1" thickBot="1" x14ac:dyDescent="0.3">
      <c r="A49" s="36" t="s">
        <v>90</v>
      </c>
      <c r="B49" s="86" t="s">
        <v>89</v>
      </c>
      <c r="C49" s="86"/>
      <c r="D49" s="86"/>
      <c r="E49" s="86"/>
      <c r="F49" s="50">
        <f>SUM(F50:F53)</f>
        <v>517845</v>
      </c>
      <c r="G49" s="37"/>
      <c r="H49" s="64">
        <f>SUM(H50:H53)</f>
        <v>0</v>
      </c>
      <c r="I49" s="64"/>
      <c r="J49" s="50">
        <f>SUM(J50:J53)</f>
        <v>517845</v>
      </c>
    </row>
    <row r="50" spans="1:10" ht="30.75" customHeight="1" x14ac:dyDescent="0.25">
      <c r="A50" s="38" t="s">
        <v>91</v>
      </c>
      <c r="B50" s="39" t="s">
        <v>92</v>
      </c>
      <c r="C50" s="40" t="s">
        <v>26</v>
      </c>
      <c r="D50" s="61">
        <v>5063</v>
      </c>
      <c r="E50" s="40">
        <v>15</v>
      </c>
      <c r="F50" s="61">
        <f t="shared" ref="F50:F53" si="20">D50*E50</f>
        <v>75945</v>
      </c>
      <c r="G50" s="40">
        <v>0</v>
      </c>
      <c r="H50" s="61">
        <f>E50*G50</f>
        <v>0</v>
      </c>
      <c r="I50" s="61">
        <f>D50-G50</f>
        <v>5063</v>
      </c>
      <c r="J50" s="65">
        <f>I50*E50</f>
        <v>75945</v>
      </c>
    </row>
    <row r="51" spans="1:10" ht="30.75" customHeight="1" x14ac:dyDescent="0.25">
      <c r="A51" s="17" t="s">
        <v>93</v>
      </c>
      <c r="B51" s="18" t="s">
        <v>94</v>
      </c>
      <c r="C51" s="19" t="s">
        <v>26</v>
      </c>
      <c r="D51" s="52">
        <v>53748</v>
      </c>
      <c r="E51" s="19">
        <v>5</v>
      </c>
      <c r="F51" s="52">
        <f t="shared" si="20"/>
        <v>268740</v>
      </c>
      <c r="G51" s="19">
        <v>0</v>
      </c>
      <c r="H51" s="52">
        <f t="shared" ref="H51:H53" si="21">E51*G51</f>
        <v>0</v>
      </c>
      <c r="I51" s="52">
        <f>D51-G51</f>
        <v>53748</v>
      </c>
      <c r="J51" s="55">
        <f>I51*E51</f>
        <v>268740</v>
      </c>
    </row>
    <row r="52" spans="1:10" ht="30.75" customHeight="1" x14ac:dyDescent="0.25">
      <c r="A52" s="17" t="s">
        <v>95</v>
      </c>
      <c r="B52" s="18" t="s">
        <v>96</v>
      </c>
      <c r="C52" s="19" t="s">
        <v>26</v>
      </c>
      <c r="D52" s="52">
        <v>4066</v>
      </c>
      <c r="E52" s="19">
        <v>10</v>
      </c>
      <c r="F52" s="52">
        <f t="shared" si="20"/>
        <v>40660</v>
      </c>
      <c r="G52" s="19">
        <v>0</v>
      </c>
      <c r="H52" s="52">
        <f t="shared" si="21"/>
        <v>0</v>
      </c>
      <c r="I52" s="52">
        <f>D52-G52</f>
        <v>4066</v>
      </c>
      <c r="J52" s="55">
        <f>I52*E52</f>
        <v>40660</v>
      </c>
    </row>
    <row r="53" spans="1:10" ht="28.5" customHeight="1" thickBot="1" x14ac:dyDescent="0.3">
      <c r="A53" s="32" t="s">
        <v>97</v>
      </c>
      <c r="B53" s="41" t="s">
        <v>98</v>
      </c>
      <c r="C53" s="34" t="s">
        <v>26</v>
      </c>
      <c r="D53" s="58">
        <v>1325</v>
      </c>
      <c r="E53" s="34">
        <v>100</v>
      </c>
      <c r="F53" s="58">
        <f t="shared" si="20"/>
        <v>132500</v>
      </c>
      <c r="G53" s="34">
        <v>0</v>
      </c>
      <c r="H53" s="58">
        <f t="shared" si="21"/>
        <v>0</v>
      </c>
      <c r="I53" s="58">
        <f>D53-G53</f>
        <v>1325</v>
      </c>
      <c r="J53" s="66">
        <f>I53*E53</f>
        <v>132500</v>
      </c>
    </row>
    <row r="54" spans="1:10" ht="18.75" customHeight="1" thickBot="1" x14ac:dyDescent="0.3">
      <c r="A54" s="87" t="s">
        <v>80</v>
      </c>
      <c r="B54" s="88"/>
      <c r="C54" s="88"/>
      <c r="D54" s="88"/>
      <c r="E54" s="89"/>
      <c r="F54" s="62">
        <f>F49</f>
        <v>517845</v>
      </c>
      <c r="G54" s="42"/>
      <c r="H54" s="62">
        <f>H49</f>
        <v>0</v>
      </c>
      <c r="I54" s="62"/>
      <c r="J54" s="62">
        <f>J49</f>
        <v>517845</v>
      </c>
    </row>
    <row r="55" spans="1:10" ht="18.75" customHeight="1" thickBot="1" x14ac:dyDescent="0.3">
      <c r="A55" s="90" t="s">
        <v>99</v>
      </c>
      <c r="B55" s="91"/>
      <c r="C55" s="91"/>
      <c r="D55" s="91"/>
      <c r="E55" s="92"/>
      <c r="F55" s="63">
        <f>F47+F40+F54</f>
        <v>10346565</v>
      </c>
      <c r="G55" s="43">
        <f>ROUND((H55/(F55/100)),2)</f>
        <v>48.7</v>
      </c>
      <c r="H55" s="63">
        <f>H47+H40+H54</f>
        <v>5038975</v>
      </c>
      <c r="I55" s="63">
        <f>ROUND((J55/(F55/100)),2)</f>
        <v>51.3</v>
      </c>
      <c r="J55" s="63">
        <f>J47+J40+J54</f>
        <v>5307590</v>
      </c>
    </row>
    <row r="56" spans="1:10" ht="18.75" customHeight="1" thickBot="1" x14ac:dyDescent="0.3">
      <c r="A56" s="93" t="s">
        <v>100</v>
      </c>
      <c r="B56" s="94"/>
      <c r="C56" s="94"/>
      <c r="D56" s="94"/>
      <c r="E56" s="94"/>
      <c r="F56" s="63">
        <f>F55*0.21</f>
        <v>2172778.65</v>
      </c>
      <c r="G56" s="43"/>
      <c r="H56" s="63">
        <f>H55*0.21</f>
        <v>1058184.75</v>
      </c>
      <c r="I56" s="63"/>
      <c r="J56" s="63">
        <f>J55*0.21</f>
        <v>1114593.8999999999</v>
      </c>
    </row>
    <row r="57" spans="1:10" ht="18.75" customHeight="1" thickBot="1" x14ac:dyDescent="0.3">
      <c r="A57" s="90" t="s">
        <v>101</v>
      </c>
      <c r="B57" s="91"/>
      <c r="C57" s="91"/>
      <c r="D57" s="91"/>
      <c r="E57" s="92"/>
      <c r="F57" s="63">
        <f>F55+F56</f>
        <v>12519343.65</v>
      </c>
      <c r="G57" s="43"/>
      <c r="H57" s="63">
        <f t="shared" ref="H57:J57" si="22">H55+H56</f>
        <v>6097159.75</v>
      </c>
      <c r="I57" s="63"/>
      <c r="J57" s="63">
        <f t="shared" si="22"/>
        <v>6422183.9000000004</v>
      </c>
    </row>
    <row r="58" spans="1:10" ht="27.75" customHeight="1" x14ac:dyDescent="0.25">
      <c r="A58" s="80" t="s">
        <v>102</v>
      </c>
      <c r="B58" s="80"/>
      <c r="C58" s="80"/>
      <c r="D58" s="80"/>
      <c r="E58" s="80"/>
      <c r="F58" s="80"/>
      <c r="G58" s="80"/>
      <c r="H58" s="80"/>
      <c r="I58" s="80"/>
      <c r="J58" s="80"/>
    </row>
    <row r="59" spans="1:10" ht="27.75" customHeight="1" x14ac:dyDescent="0.25">
      <c r="A59" s="80" t="s">
        <v>103</v>
      </c>
      <c r="B59" s="80"/>
      <c r="C59" s="80"/>
      <c r="D59" s="80"/>
      <c r="E59" s="80"/>
      <c r="F59" s="80"/>
      <c r="G59" s="80"/>
      <c r="H59" s="80"/>
      <c r="I59" s="80"/>
      <c r="J59" s="80"/>
    </row>
    <row r="60" spans="1:10" ht="38.25" customHeight="1" x14ac:dyDescent="0.25">
      <c r="B60" s="19"/>
      <c r="C60" s="45" t="s">
        <v>104</v>
      </c>
      <c r="D60" s="97" t="s">
        <v>105</v>
      </c>
      <c r="E60" s="98"/>
      <c r="F60" s="99" t="s">
        <v>106</v>
      </c>
      <c r="G60" s="99"/>
    </row>
    <row r="61" spans="1:10" ht="20.25" customHeight="1" x14ac:dyDescent="0.25">
      <c r="B61" s="19" t="s">
        <v>107</v>
      </c>
      <c r="C61" s="52">
        <v>36300</v>
      </c>
      <c r="D61" s="100">
        <v>7260</v>
      </c>
      <c r="E61" s="101"/>
      <c r="F61" s="102">
        <v>29040</v>
      </c>
      <c r="G61" s="102"/>
    </row>
    <row r="62" spans="1:10" ht="23.25" customHeight="1" x14ac:dyDescent="0.25">
      <c r="B62" s="19" t="s">
        <v>108</v>
      </c>
      <c r="C62" s="52">
        <v>100000</v>
      </c>
      <c r="D62" s="100">
        <v>50000</v>
      </c>
      <c r="E62" s="101"/>
      <c r="F62" s="100">
        <v>50000</v>
      </c>
      <c r="G62" s="101"/>
    </row>
    <row r="63" spans="1:10" ht="24" customHeight="1" x14ac:dyDescent="0.25">
      <c r="B63" s="46" t="s">
        <v>109</v>
      </c>
      <c r="C63" s="95">
        <f>F57+C61+C62</f>
        <v>12655643.65</v>
      </c>
      <c r="D63" s="95"/>
      <c r="E63" s="95"/>
      <c r="F63" s="95"/>
      <c r="G63" s="95"/>
    </row>
    <row r="65" spans="2:6" ht="13" x14ac:dyDescent="0.25">
      <c r="B65" s="96" t="s">
        <v>110</v>
      </c>
      <c r="C65" s="96"/>
      <c r="D65" s="96"/>
      <c r="E65" s="96"/>
    </row>
    <row r="67" spans="2:6" x14ac:dyDescent="0.25">
      <c r="F67" s="1"/>
    </row>
    <row r="72" spans="2:6" x14ac:dyDescent="0.25">
      <c r="F72" s="1"/>
    </row>
  </sheetData>
  <mergeCells count="34">
    <mergeCell ref="C63:G63"/>
    <mergeCell ref="B65:E65"/>
    <mergeCell ref="A59:J59"/>
    <mergeCell ref="D60:E60"/>
    <mergeCell ref="F60:G60"/>
    <mergeCell ref="D61:E61"/>
    <mergeCell ref="F61:G61"/>
    <mergeCell ref="D62:E62"/>
    <mergeCell ref="F62:G62"/>
    <mergeCell ref="A58:J58"/>
    <mergeCell ref="A40:E40"/>
    <mergeCell ref="B41:J41"/>
    <mergeCell ref="B42:E42"/>
    <mergeCell ref="B44:E44"/>
    <mergeCell ref="A47:E47"/>
    <mergeCell ref="A48:J48"/>
    <mergeCell ref="B49:E49"/>
    <mergeCell ref="A54:E54"/>
    <mergeCell ref="A55:E55"/>
    <mergeCell ref="A56:E56"/>
    <mergeCell ref="A57:E57"/>
    <mergeCell ref="G1:J1"/>
    <mergeCell ref="B37:E37"/>
    <mergeCell ref="A3:J3"/>
    <mergeCell ref="A4:J4"/>
    <mergeCell ref="A5:J5"/>
    <mergeCell ref="A6:F6"/>
    <mergeCell ref="G6:H6"/>
    <mergeCell ref="I6:J6"/>
    <mergeCell ref="B9:J9"/>
    <mergeCell ref="B10:E10"/>
    <mergeCell ref="B17:E17"/>
    <mergeCell ref="B21:E21"/>
    <mergeCell ref="B28:E28"/>
  </mergeCells>
  <pageMargins left="0.23622047244094491" right="0.23622047244094491" top="0.74803149606299213" bottom="0.74803149606299213" header="0.31496062992125984" footer="0.31496062992125984"/>
  <pageSetup paperSize="9" scale="90" fitToHeight="0" orientation="landscape"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Tāme melnraksts</vt:lpstr>
      <vt:lpstr>'Tāme melnraksts'!Print_Area</vt:lpstr>
    </vt:vector>
  </TitlesOfParts>
  <Manager/>
  <Company>Jekabpils novada pasvaldiba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Aiga Balule</dc:creator>
  <cp:keywords/>
  <dc:description/>
  <cp:lastModifiedBy>Austra Auzina</cp:lastModifiedBy>
  <cp:revision/>
  <dcterms:created xsi:type="dcterms:W3CDTF">2023-04-25T12:27:51Z</dcterms:created>
  <dcterms:modified xsi:type="dcterms:W3CDTF">2023-05-03T08:46:12Z</dcterms:modified>
  <cp:category/>
  <cp:contentStatus/>
</cp:coreProperties>
</file>