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ile-itd-01\LMshared\Vardarbības mazināšanas pasākumi\_Vardarbības novēršanas PLĀNS\_Plāna projekts_gala\TAP uz VK\"/>
    </mc:Choice>
  </mc:AlternateContent>
  <xr:revisionPtr revIDLastSave="0" documentId="13_ncr:1_{0398BC6A-F281-4496-A554-6FA3FD7E7FD7}" xr6:coauthVersionLast="47" xr6:coauthVersionMax="47" xr10:uidLastSave="{00000000-0000-0000-0000-000000000000}"/>
  <bookViews>
    <workbookView xWindow="-110" yWindow="-110" windowWidth="19420" windowHeight="10300" activeTab="3" xr2:uid="{00000000-000D-0000-FFFF-FFFF00000000}"/>
  </bookViews>
  <sheets>
    <sheet name="2.1.pasākums" sheetId="1" r:id="rId1"/>
    <sheet name="4.2.pasākums" sheetId="2" r:id="rId2"/>
    <sheet name="6.1.pasākums" sheetId="3" r:id="rId3"/>
    <sheet name="4.5. pasākums" sheetId="5" r:id="rId4"/>
    <sheet name="9.1.pasākums" sheetId="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6" i="4" l="1"/>
  <c r="D13" i="4"/>
  <c r="D12" i="4"/>
  <c r="D8" i="4"/>
  <c r="C17" i="4" s="1"/>
  <c r="D17" i="4" s="1"/>
  <c r="E145" i="5"/>
  <c r="D145" i="5"/>
  <c r="C145" i="5"/>
  <c r="F144" i="5"/>
  <c r="G144" i="5" s="1"/>
  <c r="H144" i="5" s="1"/>
  <c r="G156" i="5" s="1"/>
  <c r="D138" i="5"/>
  <c r="F138" i="5" s="1"/>
  <c r="G138" i="5" s="1"/>
  <c r="H138" i="5" s="1"/>
  <c r="H155" i="5" s="1"/>
  <c r="D137" i="5"/>
  <c r="F137" i="5" s="1"/>
  <c r="G137" i="5" s="1"/>
  <c r="H137" i="5" s="1"/>
  <c r="G155" i="5" s="1"/>
  <c r="E130" i="5"/>
  <c r="F130" i="5" s="1"/>
  <c r="G130" i="5" s="1"/>
  <c r="H154" i="5" s="1"/>
  <c r="E129" i="5"/>
  <c r="F129" i="5" s="1"/>
  <c r="G129" i="5" s="1"/>
  <c r="G154" i="5" s="1"/>
  <c r="B121" i="5"/>
  <c r="B120" i="5"/>
  <c r="B119" i="5"/>
  <c r="B118" i="5"/>
  <c r="D106" i="5"/>
  <c r="D105" i="5"/>
  <c r="D104" i="5"/>
  <c r="D103" i="5"/>
  <c r="E97" i="5"/>
  <c r="B90" i="5"/>
  <c r="M89" i="5"/>
  <c r="G89" i="5"/>
  <c r="H89" i="5" s="1"/>
  <c r="M88" i="5"/>
  <c r="G88" i="5"/>
  <c r="H88" i="5" s="1"/>
  <c r="M87" i="5"/>
  <c r="G87" i="5"/>
  <c r="D81" i="5"/>
  <c r="E80" i="5"/>
  <c r="F80" i="5" s="1"/>
  <c r="E79" i="5"/>
  <c r="F79" i="5" s="1"/>
  <c r="E78" i="5"/>
  <c r="F78" i="5" s="1"/>
  <c r="E77" i="5"/>
  <c r="F77" i="5" s="1"/>
  <c r="E76" i="5"/>
  <c r="F76" i="5" s="1"/>
  <c r="E75" i="5"/>
  <c r="D69" i="5"/>
  <c r="E69" i="5" s="1"/>
  <c r="H153" i="5" s="1"/>
  <c r="D68" i="5"/>
  <c r="E68" i="5" s="1"/>
  <c r="G153" i="5" s="1"/>
  <c r="B61" i="5"/>
  <c r="B60" i="5"/>
  <c r="B59" i="5"/>
  <c r="B58" i="5"/>
  <c r="D46" i="5"/>
  <c r="D45" i="5"/>
  <c r="D44" i="5"/>
  <c r="D43" i="5"/>
  <c r="E34" i="5"/>
  <c r="B26" i="5"/>
  <c r="M25" i="5"/>
  <c r="G25" i="5"/>
  <c r="H25" i="5" s="1"/>
  <c r="M24" i="5"/>
  <c r="G24" i="5"/>
  <c r="H24" i="5" s="1"/>
  <c r="M23" i="5"/>
  <c r="M26" i="5" s="1"/>
  <c r="G23" i="5"/>
  <c r="H10" i="5"/>
  <c r="H7" i="5" s="1"/>
  <c r="F10" i="5"/>
  <c r="F7" i="5" s="1"/>
  <c r="D10" i="5"/>
  <c r="D7" i="5" s="1"/>
  <c r="G26" i="5" l="1"/>
  <c r="D11" i="4"/>
  <c r="D4" i="4" s="1"/>
  <c r="D47" i="5"/>
  <c r="E32" i="5" s="1"/>
  <c r="M90" i="5"/>
  <c r="B122" i="5"/>
  <c r="E96" i="5" s="1"/>
  <c r="E81" i="5"/>
  <c r="F75" i="5"/>
  <c r="F81" i="5" s="1"/>
  <c r="G157" i="5" s="1"/>
  <c r="G90" i="5"/>
  <c r="B62" i="5"/>
  <c r="E33" i="5" s="1"/>
  <c r="D107" i="5"/>
  <c r="E95" i="5" s="1"/>
  <c r="F145" i="5"/>
  <c r="G145" i="5" s="1"/>
  <c r="H145" i="5" s="1"/>
  <c r="H156" i="5" s="1"/>
  <c r="K89" i="5"/>
  <c r="J89" i="5"/>
  <c r="I89" i="5"/>
  <c r="K88" i="5"/>
  <c r="J88" i="5"/>
  <c r="I88" i="5"/>
  <c r="H87" i="5"/>
  <c r="K24" i="5"/>
  <c r="J24" i="5"/>
  <c r="I24" i="5"/>
  <c r="K25" i="5"/>
  <c r="J25" i="5"/>
  <c r="I25" i="5"/>
  <c r="H23" i="5"/>
  <c r="E35" i="5" l="1"/>
  <c r="G152" i="5" s="1"/>
  <c r="L88" i="5"/>
  <c r="N88" i="5" s="1"/>
  <c r="L89" i="5"/>
  <c r="E98" i="5"/>
  <c r="H152" i="5" s="1"/>
  <c r="L24" i="5"/>
  <c r="N24" i="5" s="1"/>
  <c r="K87" i="5"/>
  <c r="K90" i="5" s="1"/>
  <c r="J87" i="5"/>
  <c r="J90" i="5" s="1"/>
  <c r="H90" i="5"/>
  <c r="I87" i="5"/>
  <c r="I90" i="5" s="1"/>
  <c r="N89" i="5"/>
  <c r="L25" i="5"/>
  <c r="N25" i="5" s="1"/>
  <c r="K23" i="5"/>
  <c r="K26" i="5" s="1"/>
  <c r="J23" i="5"/>
  <c r="J26" i="5" s="1"/>
  <c r="H26" i="5"/>
  <c r="I23" i="5"/>
  <c r="I26" i="5" s="1"/>
  <c r="L87" i="5" l="1"/>
  <c r="L90" i="5" s="1"/>
  <c r="L23" i="5"/>
  <c r="L26" i="5" s="1"/>
  <c r="N87" i="5" l="1"/>
  <c r="N90" i="5" s="1"/>
  <c r="H151" i="5" s="1"/>
  <c r="H158" i="5" s="1"/>
  <c r="N12" i="5" s="1"/>
  <c r="N10" i="5" s="1"/>
  <c r="N7" i="5" s="1"/>
  <c r="N23" i="5"/>
  <c r="N26" i="5" s="1"/>
  <c r="G151" i="5" s="1"/>
  <c r="G158" i="5" s="1"/>
  <c r="M12" i="5" s="1"/>
  <c r="M10" i="5" s="1"/>
  <c r="M7" i="5" s="1"/>
  <c r="O12" i="5" l="1"/>
  <c r="O10" i="5" s="1"/>
  <c r="O7" i="5" s="1"/>
  <c r="F18" i="3" l="1"/>
  <c r="C30" i="1"/>
  <c r="C9" i="1"/>
  <c r="C47" i="1" l="1"/>
  <c r="C17" i="1"/>
  <c r="C16" i="1"/>
  <c r="C15" i="1"/>
  <c r="C31" i="1"/>
  <c r="C32" i="1"/>
  <c r="C33" i="1" s="1"/>
  <c r="C34" i="1" s="1"/>
  <c r="F9" i="1"/>
  <c r="D47" i="1" s="1"/>
  <c r="C18" i="1" l="1"/>
  <c r="D9" i="1"/>
  <c r="E9" i="1" s="1"/>
  <c r="E14" i="3"/>
  <c r="B14" i="3"/>
  <c r="A14" i="3"/>
  <c r="C14" i="3" s="1"/>
  <c r="F21" i="3"/>
  <c r="H21" i="3" s="1"/>
  <c r="F20" i="3"/>
  <c r="H20" i="3" s="1"/>
  <c r="F19" i="3"/>
  <c r="H19" i="3" s="1"/>
  <c r="H18" i="3"/>
  <c r="F14" i="3"/>
  <c r="H9" i="1" l="1"/>
  <c r="F47" i="1" s="1"/>
  <c r="G9" i="1"/>
  <c r="E47" i="1" s="1"/>
  <c r="H22" i="3"/>
  <c r="C9" i="2"/>
  <c r="B9" i="2"/>
  <c r="D14" i="3" l="1"/>
  <c r="G14" i="3" s="1"/>
  <c r="H14" i="3" l="1"/>
  <c r="I14" i="3" s="1"/>
  <c r="B7" i="3" s="1"/>
  <c r="B8" i="3" s="1"/>
  <c r="B9" i="3" s="1"/>
  <c r="D9" i="2"/>
  <c r="E9" i="2" s="1"/>
  <c r="F9" i="2" l="1"/>
  <c r="C16" i="2" s="1"/>
  <c r="D16" i="2" s="1"/>
  <c r="E16" i="2" s="1"/>
  <c r="F16" i="2" s="1"/>
  <c r="C19" i="1" l="1"/>
  <c r="C20" i="1" s="1"/>
  <c r="I16" i="1" s="1"/>
  <c r="C35" i="1"/>
  <c r="L33" i="1" s="1"/>
  <c r="L34" i="1" l="1"/>
  <c r="L35" i="1" s="1"/>
  <c r="L36" i="1" s="1"/>
  <c r="C49" i="1"/>
  <c r="C48" i="1"/>
  <c r="I17" i="1"/>
  <c r="I18" i="1" s="1"/>
  <c r="C50" i="1" l="1"/>
  <c r="D48" i="1"/>
  <c r="D49" i="1"/>
  <c r="D50" i="1" l="1"/>
  <c r="F49" i="1"/>
  <c r="E49" i="1"/>
  <c r="I19" i="1"/>
  <c r="F48" i="1" s="1"/>
  <c r="E48" i="1"/>
  <c r="E50" i="1" l="1"/>
  <c r="F5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Sandra Strēle</author>
  </authors>
  <commentList>
    <comment ref="B18" authorId="0" shapeId="0" xr:uid="{A7B63558-A731-4807-A93D-9DF540CA8845}">
      <text>
        <r>
          <rPr>
            <b/>
            <sz val="9"/>
            <color indexed="81"/>
            <rFont val="Tahoma"/>
            <family val="2"/>
            <charset val="186"/>
          </rPr>
          <t>Sandra Strēle:</t>
        </r>
        <r>
          <rPr>
            <sz val="9"/>
            <color indexed="81"/>
            <rFont val="Tahoma"/>
            <family val="2"/>
            <charset val="186"/>
          </rPr>
          <t xml:space="preserve">
atlīdzība 1 spec./1h
</t>
        </r>
      </text>
    </comment>
    <comment ref="C18" authorId="0" shapeId="0" xr:uid="{291F56A9-D02A-43AB-BCD1-27BD53BC752F}">
      <text>
        <r>
          <rPr>
            <b/>
            <sz val="9"/>
            <color indexed="81"/>
            <rFont val="Tahoma"/>
            <family val="2"/>
            <charset val="186"/>
          </rPr>
          <t>Sandra Strēle:</t>
        </r>
        <r>
          <rPr>
            <sz val="9"/>
            <color indexed="81"/>
            <rFont val="Tahoma"/>
            <family val="2"/>
            <charset val="186"/>
          </rPr>
          <t xml:space="preserve">
speciālistu skaits</t>
        </r>
      </text>
    </comment>
    <comment ref="D18" authorId="0" shapeId="0" xr:uid="{5AE900B9-F9CA-4285-9AB1-297B79810E9B}">
      <text>
        <r>
          <rPr>
            <b/>
            <sz val="9"/>
            <color indexed="81"/>
            <rFont val="Tahoma"/>
            <family val="2"/>
            <charset val="186"/>
          </rPr>
          <t>Sandra Strēle:</t>
        </r>
        <r>
          <rPr>
            <sz val="9"/>
            <color indexed="81"/>
            <rFont val="Tahoma"/>
            <family val="2"/>
            <charset val="186"/>
          </rPr>
          <t xml:space="preserve">
2h</t>
        </r>
      </text>
    </comment>
    <comment ref="B19" authorId="0" shapeId="0" xr:uid="{C5305A50-DD42-4D53-B698-A2200AD198A1}">
      <text>
        <r>
          <rPr>
            <b/>
            <sz val="9"/>
            <color indexed="81"/>
            <rFont val="Tahoma"/>
            <family val="2"/>
            <charset val="186"/>
          </rPr>
          <t>Sandra Strēle:</t>
        </r>
        <r>
          <rPr>
            <sz val="9"/>
            <color indexed="81"/>
            <rFont val="Tahoma"/>
            <family val="2"/>
            <charset val="186"/>
          </rPr>
          <t xml:space="preserve">
atlīdzība 1 spec./1h
</t>
        </r>
      </text>
    </comment>
    <comment ref="C19" authorId="0" shapeId="0" xr:uid="{DA29B574-9CBE-4F78-A000-0C07FFC51DC5}">
      <text>
        <r>
          <rPr>
            <b/>
            <sz val="9"/>
            <color indexed="81"/>
            <rFont val="Tahoma"/>
            <family val="2"/>
            <charset val="186"/>
          </rPr>
          <t>Sandra Strēle:</t>
        </r>
        <r>
          <rPr>
            <sz val="9"/>
            <color indexed="81"/>
            <rFont val="Tahoma"/>
            <family val="2"/>
            <charset val="186"/>
          </rPr>
          <t xml:space="preserve">
speciālistu skaits</t>
        </r>
      </text>
    </comment>
    <comment ref="D19" authorId="0" shapeId="0" xr:uid="{7CE93CB8-D446-435C-AEDE-46276B282669}">
      <text>
        <r>
          <rPr>
            <b/>
            <sz val="9"/>
            <color indexed="81"/>
            <rFont val="Tahoma"/>
            <family val="2"/>
            <charset val="186"/>
          </rPr>
          <t>Sandra Strēle:</t>
        </r>
        <r>
          <rPr>
            <sz val="9"/>
            <color indexed="81"/>
            <rFont val="Tahoma"/>
            <family val="2"/>
            <charset val="186"/>
          </rPr>
          <t xml:space="preserve">
h</t>
        </r>
      </text>
    </comment>
    <comment ref="B20" authorId="0" shapeId="0" xr:uid="{F7C3B37D-7022-46B9-A09A-8FCCC42BE1B8}">
      <text>
        <r>
          <rPr>
            <b/>
            <sz val="9"/>
            <color indexed="81"/>
            <rFont val="Tahoma"/>
            <family val="2"/>
            <charset val="186"/>
          </rPr>
          <t>Sandra Strēle:</t>
        </r>
        <r>
          <rPr>
            <sz val="9"/>
            <color indexed="81"/>
            <rFont val="Tahoma"/>
            <family val="2"/>
            <charset val="186"/>
          </rPr>
          <t xml:space="preserve">
3.00 uz 1 pers. grupā</t>
        </r>
      </text>
    </comment>
    <comment ref="C20" authorId="0" shapeId="0" xr:uid="{6D233ACB-7500-4298-812D-2A10E45163D5}">
      <text>
        <r>
          <rPr>
            <b/>
            <sz val="9"/>
            <color indexed="81"/>
            <rFont val="Tahoma"/>
            <family val="2"/>
            <charset val="186"/>
          </rPr>
          <t>Sandra Strēle:</t>
        </r>
        <r>
          <rPr>
            <sz val="9"/>
            <color indexed="81"/>
            <rFont val="Tahoma"/>
            <family val="2"/>
            <charset val="186"/>
          </rPr>
          <t xml:space="preserve">
5 personas grupā</t>
        </r>
      </text>
    </comment>
    <comment ref="D20" authorId="0" shapeId="0" xr:uid="{2684D9BC-E2C6-474F-BE76-A7D0F210C476}">
      <text>
        <r>
          <rPr>
            <b/>
            <sz val="9"/>
            <color indexed="81"/>
            <rFont val="Tahoma"/>
            <family val="2"/>
            <charset val="186"/>
          </rPr>
          <t>Sandra Strēle:</t>
        </r>
        <r>
          <rPr>
            <sz val="9"/>
            <color indexed="81"/>
            <rFont val="Tahoma"/>
            <family val="2"/>
            <charset val="186"/>
          </rPr>
          <t xml:space="preserve">
1 nodarbība</t>
        </r>
      </text>
    </comment>
    <comment ref="C21" authorId="0" shapeId="0" xr:uid="{E88C495C-0334-4BA5-BB5A-6E37E1B4EE52}">
      <text>
        <r>
          <rPr>
            <b/>
            <sz val="9"/>
            <color indexed="81"/>
            <rFont val="Tahoma"/>
            <family val="2"/>
            <charset val="186"/>
          </rPr>
          <t>Sandra Strēle:</t>
        </r>
        <r>
          <rPr>
            <sz val="9"/>
            <color indexed="81"/>
            <rFont val="Tahoma"/>
            <family val="2"/>
            <charset val="186"/>
          </rPr>
          <t xml:space="preserve">
speciālistu skaits</t>
        </r>
      </text>
    </comment>
    <comment ref="D21" authorId="0" shapeId="0" xr:uid="{E5E896CF-038A-458F-B724-5A3B526184B3}">
      <text>
        <r>
          <rPr>
            <b/>
            <sz val="9"/>
            <color indexed="81"/>
            <rFont val="Tahoma"/>
            <family val="2"/>
            <charset val="186"/>
          </rPr>
          <t>Sandra Strēle:</t>
        </r>
        <r>
          <rPr>
            <sz val="9"/>
            <color indexed="81"/>
            <rFont val="Tahoma"/>
            <family val="2"/>
            <charset val="186"/>
          </rPr>
          <t xml:space="preserve">
1 nodarbība viena kompensācija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Inese Kise</author>
  </authors>
  <commentList>
    <comment ref="D9" authorId="0" shapeId="0" xr:uid="{48777791-0D0B-4EA2-8448-7675095B8E2B}">
      <text>
        <r>
          <rPr>
            <b/>
            <sz val="9"/>
            <color indexed="81"/>
            <rFont val="Tahoma"/>
            <family val="2"/>
            <charset val="186"/>
          </rPr>
          <t>Inese Kise:</t>
        </r>
        <r>
          <rPr>
            <sz val="9"/>
            <color indexed="81"/>
            <rFont val="Tahoma"/>
            <family val="2"/>
            <charset val="186"/>
          </rPr>
          <t xml:space="preserve">
Dienu skaits palielināts no 3 uz 4</t>
        </r>
      </text>
    </comment>
  </commentList>
</comments>
</file>

<file path=xl/sharedStrings.xml><?xml version="1.0" encoding="utf-8"?>
<sst xmlns="http://schemas.openxmlformats.org/spreadsheetml/2006/main" count="352" uniqueCount="256">
  <si>
    <t xml:space="preserve">1.1.pielikums
Plāna  2.1. pasākumam nepieciešamais papildu finansējums </t>
  </si>
  <si>
    <t>2.1. Nodrošināti izglītojoši pasākumi  bērniem, jauniešiem un viņu likumiskajiem pārstāvjiem  par vardarbību, tās pazīmēm, īpaši  seksuālās izmantošanas riskiem, drošu un cieņpilnu attiecību veidošanu un kaitējošu seksuālo uzvedību.</t>
  </si>
  <si>
    <t>4.2. pasākums Veikti pasākumi, lai ieviestu bezmaksas atbalsta grupas vecākiem  vai personām, kuras aprūpē bērnus, kuri ir cietuši no noziedzīga nodarījuma vai veikuši noziedzīgu nodarījumu</t>
  </si>
  <si>
    <t xml:space="preserve">6.1. pasākums </t>
  </si>
  <si>
    <t>Ieviesti un pilnveidoti atbalsta pasākumi un pakalpojumi personām, kuras veikušas vardarbību, vai baidās, ka to varētu veikt, lai novērstu un pārtrauktu vardarbību.</t>
  </si>
  <si>
    <t>5. RR Ieviests no  valsts budžeta finansēts sociālās rehabilitācijas pakalpojums vardarbību veikušām nepilngadīgām personām.</t>
  </si>
  <si>
    <t>05.01.00 "Sociālās rehabilitācijas valsts programmas" EKK 3000</t>
  </si>
  <si>
    <t>Administrēšanas izdevumi, 10%</t>
  </si>
  <si>
    <t>PVN, 21%</t>
  </si>
  <si>
    <t>KOPĀ</t>
  </si>
  <si>
    <t>euro</t>
  </si>
  <si>
    <t>Aprēķins veikts, izmantojot OnPlate piedāvājumu grupu organizēšanai</t>
  </si>
  <si>
    <t>Personālsa izmaksas*</t>
  </si>
  <si>
    <t>Pasākuma organizēšanas izmaksas (telpas, ēdināšanas, citas izmaksas)**</t>
  </si>
  <si>
    <t>* 100 euro (2h x 50 euro) x 10nodarb. x 90 grupas</t>
  </si>
  <si>
    <t>* 113 euro (2h x 56.50 euro) x 10 nodarb.x 90 grupas</t>
  </si>
  <si>
    <t>periods</t>
  </si>
  <si>
    <t>x</t>
  </si>
  <si>
    <t>2027. gads</t>
  </si>
  <si>
    <t>2028. gads</t>
  </si>
  <si>
    <t>Individuālās speciālistu konsultācijas dzīvesvietā*</t>
  </si>
  <si>
    <t xml:space="preserve"> Sociālās rehabilitācijas pakalpojuma organizēšanas izmaksas (telpu noma, materiālu kopēšana, kancelejas preces, sakaru pakalpojumi u.c.)**</t>
  </si>
  <si>
    <t>Grupu nodarbības ( 40 personas, 5 personas grupā, 8 grupas)***</t>
  </si>
  <si>
    <t>Konsultācijas pēc pakalpojuma pabeigšanas****</t>
  </si>
  <si>
    <t>Supervīzijas, speciālistu kvalifikācijas celšana*****</t>
  </si>
  <si>
    <t>Pakalpojuma izdevumi kopā</t>
  </si>
  <si>
    <t>Izdevumi KOPĀ</t>
  </si>
  <si>
    <t>konsultācijas</t>
  </si>
  <si>
    <t>3=1*2.29 euro</t>
  </si>
  <si>
    <t>7=2+3+4+5+6</t>
  </si>
  <si>
    <t>9=7+8</t>
  </si>
  <si>
    <t>*</t>
  </si>
  <si>
    <t>**</t>
  </si>
  <si>
    <t>2.29 (sociālās rehabilitācijas pakalpojuma organizēšanas izmaksas) x 12 konsultācijas x 50 bērni</t>
  </si>
  <si>
    <t>***</t>
  </si>
  <si>
    <t>cena, izdevumi, euro</t>
  </si>
  <si>
    <t>nodarbību sk.</t>
  </si>
  <si>
    <t>1 grupa, euro</t>
  </si>
  <si>
    <t>grupu skaits</t>
  </si>
  <si>
    <t>Izdevumi KOPĀ, euro</t>
  </si>
  <si>
    <t>nodarbība</t>
  </si>
  <si>
    <t>sagatavošanās</t>
  </si>
  <si>
    <t>norganizēšanas, t.sk. Izdales materiāli, kancelejas preces u.c.</t>
  </si>
  <si>
    <t>transporta kompensācija speciālistiem</t>
  </si>
  <si>
    <t>****</t>
  </si>
  <si>
    <t>*****</t>
  </si>
  <si>
    <t>2029. gads</t>
  </si>
  <si>
    <t>55 euro x 10 supervīzijas x 20 speciālisti</t>
  </si>
  <si>
    <t>2=1*70.00 euro</t>
  </si>
  <si>
    <t>70.00 (1 konsultācijas cena) x 12 konsultācijas (vidējais konsul. skaits) x 50 bērni</t>
  </si>
  <si>
    <t>pakalpojuma izdevumi (pakalpojuma saņēmēju skaits - 50)</t>
  </si>
  <si>
    <t>pakalpojuma izdevumi (pakalpojuma saņēmēju skaits - 100)</t>
  </si>
  <si>
    <t>pakalpojuma izdevumi (pakalpojuma saņēmēju skaits - 150)</t>
  </si>
  <si>
    <t>72.29 euro (70 euro 1 konsult. + 2.29 konsultācijas organizēšanas izmaksas) x 3 konsultācijas x 8 bērni (16% no kopējā bērna skaita)</t>
  </si>
  <si>
    <t>Papildus nepieciešamais finansējums</t>
  </si>
  <si>
    <t>Bāzes finansējums</t>
  </si>
  <si>
    <t>2026.g.</t>
  </si>
  <si>
    <t>2025.g.</t>
  </si>
  <si>
    <t>2027.g.</t>
  </si>
  <si>
    <t>2028.g.</t>
  </si>
  <si>
    <t>2029.g.</t>
  </si>
  <si>
    <t>Plānotais finansējums</t>
  </si>
  <si>
    <t>b) Pasākumi jauniešiem par drošu un cieņpilnu attiecību veidošanu, vardarbības atpazīšanu (RR 1500 jaunieši katru gadu)</t>
  </si>
  <si>
    <t>a)Pasākumi bērna tiesību aizsardzībā un vardarbības prevencijas nodrošināšanai pirmsskolas un sākumskolas vecuma bērniem, bērnu vecākiem (RR 4500 bērni, 150 vecāki katru gadu)</t>
  </si>
  <si>
    <t>Organizēšanas izdevumi**</t>
  </si>
  <si>
    <t>Kafijas pauzes***</t>
  </si>
  <si>
    <t>kopā bez PVN</t>
  </si>
  <si>
    <t xml:space="preserve">kopā </t>
  </si>
  <si>
    <t>c) pasākumi vecākiem par vardarbības atpazīšanu, cēloņiem, sekām, kaitējošu seksuālu uzvedību (RR 450 vecāki, bērnu likumīgie pārstāvji)</t>
  </si>
  <si>
    <t xml:space="preserve">Kopā </t>
  </si>
  <si>
    <t>Personāla izmaksas*</t>
  </si>
  <si>
    <t>Kopā bez PVN</t>
  </si>
  <si>
    <t>*** 6 eiro personai x 495 personas (450 vecāki+(1 vadītājs x 45 grupas))</t>
  </si>
  <si>
    <t xml:space="preserve"> PVN, 21%</t>
  </si>
  <si>
    <t>Personāla izdevumi*</t>
  </si>
  <si>
    <t>** 100 eiro  x 50 grupas</t>
  </si>
  <si>
    <t>*** 5 eiro personai x 1600 personas (1500 jaunieši +2 vadītāji x 50 grupas)</t>
  </si>
  <si>
    <t>Kopsavilkums</t>
  </si>
  <si>
    <t>Pasākums</t>
  </si>
  <si>
    <t>a)bērniem, bērnu vecākiem</t>
  </si>
  <si>
    <t>b)jauniešiem</t>
  </si>
  <si>
    <t>c) vecākiem</t>
  </si>
  <si>
    <t>4. RR Atbalsta grupu vecākiem nodrošināšana no 2026. gada</t>
  </si>
  <si>
    <t>* 50 grupas (1 grupā vid. 30 jaunieši)  x 75 eiro X 4 stundas x 2 mācību vadītāji</t>
  </si>
  <si>
    <t>* 45 grupas (1 grupā vidēji 10 vecāki) x 1 diena x 75 eiro X 6 stundas x 1 mācību vadītājs)</t>
  </si>
  <si>
    <t>** 100 eiro  x 45 grupas</t>
  </si>
  <si>
    <t>Info "Vardarbības pret sievieti un vardarbības ģimenē novēršanas un apkarošanas plāns 2024.-2029.gadam"</t>
  </si>
  <si>
    <t>Budžeta apakšprogramma 22.01.00 Bērnu aizsardzības centra darbības nodrošināšana</t>
  </si>
  <si>
    <t>Kopsavilkums par Plāna pasākumu īstenošanai nepieciešamo valsts un pašvaldību budžeta finansējumu</t>
  </si>
  <si>
    <t>Budžeta resors;
budžeta programmas (apakšprogrammas) kods un nosaukums</t>
  </si>
  <si>
    <r>
      <t>Vidēja termiņa budžeta ietvara likumā plānotais finansējums (</t>
    </r>
    <r>
      <rPr>
        <b/>
        <i/>
        <sz val="11"/>
        <color theme="1"/>
        <rFont val="Times New Roman"/>
        <family val="1"/>
        <charset val="186"/>
      </rPr>
      <t>euro</t>
    </r>
    <r>
      <rPr>
        <b/>
        <sz val="11"/>
        <color theme="1"/>
        <rFont val="Times New Roman"/>
        <family val="1"/>
        <charset val="186"/>
      </rPr>
      <t>)</t>
    </r>
  </si>
  <si>
    <r>
      <t>Nepieciešamais papildu finansējums (</t>
    </r>
    <r>
      <rPr>
        <b/>
        <i/>
        <sz val="11"/>
        <color theme="1"/>
        <rFont val="Times New Roman"/>
        <family val="1"/>
        <charset val="186"/>
      </rPr>
      <t>euro</t>
    </r>
    <r>
      <rPr>
        <b/>
        <sz val="11"/>
        <color theme="1"/>
        <rFont val="Times New Roman"/>
        <family val="1"/>
        <charset val="186"/>
      </rPr>
      <t>)</t>
    </r>
  </si>
  <si>
    <t>Pasākuma īstenošanas gads (ja pasākuma īstenošana ir terminēta</t>
  </si>
  <si>
    <t>Finansējums Plāna realizācijai kopā</t>
  </si>
  <si>
    <t>Bērna māja</t>
  </si>
  <si>
    <t>3.13.</t>
  </si>
  <si>
    <t>BM</t>
  </si>
  <si>
    <t>4.5.</t>
  </si>
  <si>
    <t>BM - Ikgadēji pakalpojums nodrošināts vismaz 100 bērniem.</t>
  </si>
  <si>
    <t>BM - Notiek izvērsta programmas darbības paplašināšana reģionos. </t>
  </si>
  <si>
    <t>Ar 2027. gada otro pusgadu plānots atvērt Bērna mājas filiāli vienā no lielajām reģionu pilsētām, lai paplašinātu programmas Bērna māja pieejamību ārpus galvaspilsētas. Samazinot attālumu, kas bērnam un speciālistiem no attālākiem Latvijas reģioniem jāpārvar, lai nonāktu Bērna mājā, pakalpojums kļūs pieejamāks lielākam bērnu skaitam, kā arī tiks samazinātas transporta izmaksas, kas rodas saistībā ar bērna un speciālistu nokļūšanu galvaspilsētā. Ja bērnus no reģioniem ir iespējams izvadāt uz galvaspilsētu uz nopratināšanu(kas notiek pēc iespējas vienu reizi), tad domājot par bērna piekļuvi psiholoģiskās rehabilitācijas pakalpojumam (20 konsultācijas, reizi nedēļā), nokļūšana Rīgā no reģiona var būt par būtisku šķērsli pakalpojuma pieejamībai, ko iespējams mazināt veidojot Bērna mājas reģionālo filiāli.</t>
  </si>
  <si>
    <t xml:space="preserve">Nepieciešamie izdevumi atlīdzībai no 2027.gada 1.jūnija </t>
  </si>
  <si>
    <t>Amata nosaukums</t>
  </si>
  <si>
    <t>Slodžu skaits</t>
  </si>
  <si>
    <t>Saime 
(apakšsaime)</t>
  </si>
  <si>
    <t>Līmenis</t>
  </si>
  <si>
    <t>Mēnešalgu grupa</t>
  </si>
  <si>
    <t>Amata vietai plānotā mēnešalga 1 slodzei*</t>
  </si>
  <si>
    <t>Amata vietai plānotā  mēnešalga, ņemot vērā slodzes</t>
  </si>
  <si>
    <t>Amata vietai plānotā alga, ņemot vērā slodzes, gadā</t>
  </si>
  <si>
    <t>Prēmijas un naudas balvas 10%</t>
  </si>
  <si>
    <t>Vispārējā piemaksa 5%</t>
  </si>
  <si>
    <t>Sociālās garantijas 5%</t>
  </si>
  <si>
    <t>Valsts sociālās apdrošināšanas obligātās iemaksas, 23.59%</t>
  </si>
  <si>
    <t>Veselības apdrošināšanas polises</t>
  </si>
  <si>
    <t>Kopā 6 mēneši</t>
  </si>
  <si>
    <t>8=7*6 mēn.</t>
  </si>
  <si>
    <t>9=8*10%</t>
  </si>
  <si>
    <t>10=8*5%</t>
  </si>
  <si>
    <t>11=8*5%</t>
  </si>
  <si>
    <t>12=(8+9+10+11)*23,59%</t>
  </si>
  <si>
    <t>14=8+9+10+11+12+13</t>
  </si>
  <si>
    <t>psihologs</t>
  </si>
  <si>
    <t>43,2</t>
  </si>
  <si>
    <t>II</t>
  </si>
  <si>
    <t>sociālie darbinieks</t>
  </si>
  <si>
    <t>43,1</t>
  </si>
  <si>
    <t>5A</t>
  </si>
  <si>
    <t>sistemanalītiķis</t>
  </si>
  <si>
    <t>21,7</t>
  </si>
  <si>
    <t>Kopā</t>
  </si>
  <si>
    <t>* mēnešalga noteikta, atbilstoši Valsts kancelejas Vadlīnijām tiesību akta projekta sākotnējās ietekmes novērtēšanai un novērtējuma ziņojuma sagatavošanai vienotajā tiesību aktu izstrādes un saskaņošanas portālā, kas nosaka, ka jaunas amata vietas izveides gadījumā, veicot aprēķinus, izmantojama mēnešalga, kuras apmērs nedrīkst pārsniegt mēnešalgu skalas attiecīgās mēnešalgu grupas mēnešalgu intervāla viduspunktu. Informācija no Valsts kancelejas tīmekļa vietnes (https://www.mk.gov.lv/lv/dati-par-darba-samaksu-unnodarbinatajiem-valsts-parvalde); Provizoriskā bāzes alga un mēnešalgu skala 2027.gadam.</t>
  </si>
  <si>
    <r>
      <t xml:space="preserve">2. Finansējums ārpakalpojuma sniedzējiem </t>
    </r>
    <r>
      <rPr>
        <sz val="11"/>
        <rFont val="Times New Roman"/>
        <family val="1"/>
        <charset val="186"/>
      </rPr>
      <t xml:space="preserve"> (2027)</t>
    </r>
  </si>
  <si>
    <r>
      <t xml:space="preserve">2027. gada 6 mēnešos reģionālajā filiālē ir plānotas personāla izmaksas arī no  ārpakalpojuma (medicīnas darbinieki,  tiesu eksperti, supervizors), samaksa uz pakalpjuma līguma pamata </t>
    </r>
    <r>
      <rPr>
        <b/>
        <sz val="11"/>
        <rFont val="Times New Roman"/>
        <family val="1"/>
        <charset val="186"/>
      </rPr>
      <t>35 606</t>
    </r>
    <r>
      <rPr>
        <sz val="11"/>
        <rFont val="Times New Roman"/>
        <family val="1"/>
        <charset val="186"/>
      </rPr>
      <t xml:space="preserve"> </t>
    </r>
    <r>
      <rPr>
        <i/>
        <sz val="11"/>
        <rFont val="Times New Roman"/>
        <family val="1"/>
        <charset val="186"/>
      </rPr>
      <t>euro</t>
    </r>
    <r>
      <rPr>
        <sz val="11"/>
        <rFont val="Times New Roman"/>
        <family val="1"/>
        <charset val="186"/>
      </rPr>
      <t xml:space="preserve"> apmērā:</t>
    </r>
  </si>
  <si>
    <t>medicīnas darbinieki (pakalpojuma līgums) *</t>
  </si>
  <si>
    <t>tiesu eksperti (pakalpojuma līgums/uzņēmuma līgums) **</t>
  </si>
  <si>
    <t>supervizors (pakalpojuma līgums) ***</t>
  </si>
  <si>
    <t>Kopā:</t>
  </si>
  <si>
    <t>*Lai nodrošinātu bērna medicīnisko apskati Bērna mājā, katrā atsevišķā gadījumā pēc nepieciešamības tiek piesaistīti 2 reģionālās medicīnas iestādes(slimnīcas) speciālisti (ārsts pediatrs un māsa, jeb mediķu komanda). Nepieciešamības gadījumā tiek piesaistīts arī bērnu ginekologs vai ķirurgs(zēniem), speciālistu piesaisti līdzīgi kā līgumā ar BKUS koordinē medicīnas iestādes pārstāvis. Speciālistu piesaisti un apmaksu regulē Līgums reģionālās medicīnas iestādes un BAC starpā (samaksa par faktiski BM sniegto pakalpojumu). Līgumā ietvertā summa paredzēta piemaksu piešķiršanai ārstniecības personām par darbu Bērna mājā. Minētajā līgumā tiks ietverti nosacījumi, kādas darbības ārstniecības personām jāveic Bērna mājā, saskaņā ar kādiem kritērijiem, kā arī tiks noteikta minēto piemaksu regularitāte.</t>
  </si>
  <si>
    <t>**Lai nodrošinātu tiesu medicīnisko ekspertīzi Bērna mājā, pēc procesa virzītāja lēmuma tiek piesaistīti ekspertīžu iestādes eksperti, tiesiskās attiecības BAC un ekspertīžu iestādes starpā regulē Līgums. Papildu izdevumus veido transporta izdevumi, ceļā pavadītais laiks, gan arī papildu laiks, ko eksperts pavadīs programmas “Bērnu māja” īstenošanas vietā, jo ekspertīzes veikšanas laiks “Bērnu mājā” paredzams ilgāks nekā tas būtu, veicot ekspertīzi ekspertīžu iestādes telpās - lai veiktu ekspertīzi un atbildētu uz procesa virzītāja jautājumiem, ekspertam var būt jāpiedalās kopā ar citiem speciālistiem bērna iztaujāšanā, medicīniskajā apskatē utt., kas varētu ieilgt līdz pat dažām stundām (samaksa tiek veikta par transporta izdevumiem un papildus pavadīto laiku, faktiski BM sniegto pakalpojumu).</t>
  </si>
  <si>
    <t>***Palielinoties BM darbinieku skaitam, palielinās psihologa supervizoru un komandas supervīziju darba apjoms, attiecīgi palielinās izmaksas par supervīzijām (plānots, ka supervīzijas tiek nodrošinātas Rīgas Bērna mājas noslēgtā līguma ietvaros, ar supervīzijām tiešsaistē vai izbraukumā uz reģionu).</t>
  </si>
  <si>
    <r>
      <t xml:space="preserve">Med. speciālists ārpakalpojumā aprēķins </t>
    </r>
    <r>
      <rPr>
        <sz val="11"/>
        <rFont val="Times New Roman"/>
        <family val="1"/>
        <charset val="186"/>
      </rPr>
      <t>(2027):</t>
    </r>
  </si>
  <si>
    <t>*64 bērni,198 euro par pediatra un māsas piesaisti uz gadījumu</t>
  </si>
  <si>
    <t>15 ginekologa konsultācijas, 79,10 euro par konsultāciju</t>
  </si>
  <si>
    <t>8 ķirurga konsultācijas (zēniem), 79,10 euro par konsultāciju</t>
  </si>
  <si>
    <t>Administrēšanas izmaksas 480 euro mēnesī x 6 mēn.</t>
  </si>
  <si>
    <t>*pediatra pakalpojuma BM apraksts:  vidēji 3 h uz gadījumu, pediatra&amp;māsas komanda (kopā pieejamas 3 komandas) veic padziļinātu pediatra apskati bērnam, nepieciešamības gadījumā piedalās STIS, sagatavo medicīnisko dokumentāciju un rakstveidā sniedz rekomendācijas, organizē bērna nokļūšanu pie cita med.speciālista slimnīcā, ja nepieciešams), apskašu skaits ir lielāks nekā programmas bērnu skaits, jo izpētes intervijas gadījumā, ģimenēm, kurās ir vairāki bērni intervija notiek vienam bērnam, bet apskate tiek veikta visiem bērniem.</t>
  </si>
  <si>
    <r>
      <t xml:space="preserve">Tiesu ekspertu izmaksu aprēķins </t>
    </r>
    <r>
      <rPr>
        <sz val="11"/>
        <rFont val="Times New Roman"/>
        <family val="1"/>
        <charset val="186"/>
      </rPr>
      <t>(2027):</t>
    </r>
  </si>
  <si>
    <t>**45 tiesu eksperta izbraukumi uz Bērna mājas filiāli, to izmaksas veido:</t>
  </si>
  <si>
    <r>
      <t xml:space="preserve">4) 15 tiesu psiholoģiskās ekspertīzes (pakalpojuma līgums ar sertificētiem tiesu psiholoģijas ekspertiem) Bērna mājā 560 </t>
    </r>
    <r>
      <rPr>
        <i/>
        <sz val="11"/>
        <rFont val="Times New Roman"/>
        <family val="1"/>
        <charset val="186"/>
      </rPr>
      <t>euro</t>
    </r>
    <r>
      <rPr>
        <sz val="11"/>
        <rFont val="Times New Roman"/>
        <family val="1"/>
        <charset val="186"/>
      </rPr>
      <t xml:space="preserve"> x 15 = 8 400 </t>
    </r>
    <r>
      <rPr>
        <i/>
        <sz val="11"/>
        <rFont val="Times New Roman"/>
        <family val="1"/>
        <charset val="186"/>
      </rPr>
      <t>euro</t>
    </r>
    <r>
      <rPr>
        <sz val="11"/>
        <rFont val="Times New Roman"/>
        <family val="1"/>
        <charset val="186"/>
      </rPr>
      <t xml:space="preserve"> apmērā.</t>
    </r>
  </si>
  <si>
    <t>1)</t>
  </si>
  <si>
    <t>2)</t>
  </si>
  <si>
    <t>3)</t>
  </si>
  <si>
    <t>4)</t>
  </si>
  <si>
    <t xml:space="preserve">** tiesu medicīnas eksperts(VTMEC), vai tiesu psiholoģijas vai psihiatrijas eksperts (pakalpojuma līgums). </t>
  </si>
  <si>
    <t xml:space="preserve">5. Bērna mājas personāla apmācības </t>
  </si>
  <si>
    <t>2027.gadā, 2028.gadā un turpmāk ik gadu</t>
  </si>
  <si>
    <t>Gads</t>
  </si>
  <si>
    <t>Nopratināšana*</t>
  </si>
  <si>
    <t>TF KBT/rehabilitācija**</t>
  </si>
  <si>
    <r>
      <t xml:space="preserve">Starpinstitūciju sadarbība/kvalifikācijas celšanas kursi (500 </t>
    </r>
    <r>
      <rPr>
        <i/>
        <sz val="11"/>
        <rFont val="Times New Roman"/>
        <family val="1"/>
        <charset val="186"/>
      </rPr>
      <t>euro</t>
    </r>
    <r>
      <rPr>
        <sz val="11"/>
        <rFont val="Times New Roman"/>
        <family val="1"/>
        <charset val="186"/>
      </rPr>
      <t xml:space="preserve"> uz amata vietu gadā)</t>
    </r>
  </si>
  <si>
    <t>Izmaksas kopā kopā ar PVN:</t>
  </si>
  <si>
    <r>
      <t xml:space="preserve">3. Bērna mājas telpu pielāgošana Bērna mājas reģionālā filiāles vajadzībām </t>
    </r>
    <r>
      <rPr>
        <sz val="11"/>
        <rFont val="Times New Roman"/>
        <family val="1"/>
        <charset val="186"/>
      </rPr>
      <t>(2027).</t>
    </r>
  </si>
  <si>
    <t>PVN 21%</t>
  </si>
  <si>
    <t>Kopā ar PVN</t>
  </si>
  <si>
    <t>Datortehnika,(datorsx3, monitors, pele, klaviatūra printeris/kopētājs personālam</t>
  </si>
  <si>
    <t>Telpu pielāgošana/mēbeles (t.sk aizkari, paklāji)</t>
  </si>
  <si>
    <t>Telpu pielāgošana/mazie dizaina elementi, virtuves aprīkojums, trauki, dvieļi</t>
  </si>
  <si>
    <t>Telpu pielāgošana/nopratināšanas video/pārraidīšanas tehnika</t>
  </si>
  <si>
    <t>Telpu pielāgošana/psihologu kabineta aprīkojums</t>
  </si>
  <si>
    <t>Telpu aprīkojums/medicīniskas ekspertīzes telpa</t>
  </si>
  <si>
    <t>*Bērna mājas regionālo filiāli plānots izveidot nomātās telpās, sledzot nomas līgumu. Lai telpas būtu iespējams izmantot Bērna mājas vajadzībām, nepieciešams aprīkot ar mebelēm, datortehniku, nopratināšanas video un audio ieraksta un apraides aprīkojumu, iekārtot medicīniskās apskates telpu un aprīkot to ar speciālo aparatūru ginekoloģiskajām apskatēm - kolposkopu. Šie izdevumi ir vienu reizi, pieņemot, ka nomas līgums tiek slēgts uz 10 gadiem, turpmākajos gados izmaksas veidos telpu nomas un uztruēšanas izdevumi.</t>
  </si>
  <si>
    <t>Kopā 12 mēneši</t>
  </si>
  <si>
    <t>8=7*12 mēn.</t>
  </si>
  <si>
    <t>* mēnešalga noteikta, atbilstoši Valsts kancelejas Vadlīnijām tiesību akta projekta sākotnējās ietekmes novērtēšanai un novērtējuma ziņojuma sagatavošanai vienotajā tiesību aktu izstrādes un saskaņošanas portālā, kas nosaka, ka jaunas amata vietas izveides gadījumā, veicot aprēķinus, izmantojama mēnešalga, kuras apmērs nedrīkst pārsniegt mēnešalgu skalas attiecīgās mēnešalgu grupas mēnešalgu intervāla viduspunktu. Informācija no Valsts kancelejas tīmekļa vietnes (https://www.mk.gov.lv/lv/dati-par-darba-samaksu-unnodarbinatajiem-valsts-parvalde); Provizoriskā bāzes alga un mēnešalgu skala 2028.gadam.</t>
  </si>
  <si>
    <r>
      <t xml:space="preserve">2. Finansējums ārpakalpojuma sniedzējiem </t>
    </r>
    <r>
      <rPr>
        <sz val="11"/>
        <rFont val="Times New Roman"/>
        <family val="1"/>
        <charset val="186"/>
      </rPr>
      <t>(2028. un turpmāk ik gadu)</t>
    </r>
  </si>
  <si>
    <t xml:space="preserve">medicīnas darbinieki (pakalpojuma līgums) </t>
  </si>
  <si>
    <t xml:space="preserve">tiesu eksperti (pakalpojuma līgums/uzņēmuma līgums) </t>
  </si>
  <si>
    <t>supervizors (pakalpojuma līgums)</t>
  </si>
  <si>
    <r>
      <t xml:space="preserve">Med. speciālists ārpakalpojumā aprēķins </t>
    </r>
    <r>
      <rPr>
        <sz val="11"/>
        <rFont val="Times New Roman"/>
        <family val="1"/>
        <charset val="186"/>
      </rPr>
      <t>(2028. un turpmāk ik gadu):</t>
    </r>
  </si>
  <si>
    <t>*128 bērni,198 euro par pediatra un māsas piesaisti uz gadījumu</t>
  </si>
  <si>
    <t>30 ginekologa konsultācijas, 79,10 euro par konsultāciju</t>
  </si>
  <si>
    <t>16 ķirurga konsultācijas (zēniem),79,10 euro par konsultāciju</t>
  </si>
  <si>
    <t>Administrēšanas izmaksas 480 euro mēnesī</t>
  </si>
  <si>
    <t>*pediatra pakalpojuma BM apraksts:  vidēji 3 h uz gadījumu, pediatra&amp;māsas komanda veic padziļinātu pediatra apskati bērnam, nepieciešamības gadījumā piedalās STIS, sagatavo medicīnisko dokumentāciju un rakstveidā sniedz rekomendācijas, organizē bērna nokļūšanu pie cita med.speciālista slimnīcā ja nepieciešams), apskašu skaits ir lielāks nekā programmas bērnu skaits, jo izpētes intervijas gadījumā, ģimenēm, kurās ir vairāki bērni intervija notiek vienam bērnam, bet apskate tiek veikta visiem bērniem.</t>
  </si>
  <si>
    <r>
      <t xml:space="preserve">Tiesu ekspertu izmaksu aprēķins </t>
    </r>
    <r>
      <rPr>
        <sz val="11"/>
        <rFont val="Times New Roman"/>
        <family val="1"/>
        <charset val="186"/>
      </rPr>
      <t>(2028. un turpmāk ik gadu):</t>
    </r>
  </si>
  <si>
    <t>** 90 tiesu ekspertu izbraukumi uz Bērna mājas filiāli, to izmaksas veido:</t>
  </si>
  <si>
    <r>
      <t xml:space="preserve">1) 60 tiesu medicīniskās ekspertīzes, 73,40 </t>
    </r>
    <r>
      <rPr>
        <i/>
        <sz val="11"/>
        <rFont val="Times New Roman"/>
        <family val="1"/>
        <charset val="186"/>
      </rPr>
      <t>euro</t>
    </r>
    <r>
      <rPr>
        <sz val="11"/>
        <rFont val="Times New Roman"/>
        <family val="1"/>
        <charset val="186"/>
      </rPr>
      <t xml:space="preserve"> apmērā atlīdzība tiesu medicīnas ekspertam (summa veidojas no starpības, ko eksperts laika ziņā iztērē Bērna mājā (vidēji 5h) vai ekspertīžu iestādē (vidēji 1h). Starpība  - 4h, stundas likme 18,35 </t>
    </r>
    <r>
      <rPr>
        <i/>
        <sz val="11"/>
        <rFont val="Times New Roman"/>
        <family val="1"/>
        <charset val="186"/>
      </rPr>
      <t>euro</t>
    </r>
    <r>
      <rPr>
        <sz val="11"/>
        <rFont val="Times New Roman"/>
        <family val="1"/>
        <charset val="186"/>
      </rPr>
      <t xml:space="preserve"> x 4h= 73,40 </t>
    </r>
    <r>
      <rPr>
        <i/>
        <sz val="11"/>
        <rFont val="Times New Roman"/>
        <family val="1"/>
        <charset val="186"/>
      </rPr>
      <t>euro</t>
    </r>
    <r>
      <rPr>
        <sz val="11"/>
        <rFont val="Times New Roman"/>
        <family val="1"/>
        <charset val="186"/>
      </rPr>
      <t xml:space="preserve"> apmērā, kopā par 60 izbraukumiem 4 404 euro apmērā);</t>
    </r>
  </si>
  <si>
    <r>
      <t xml:space="preserve">2) transporta izdevumi par eksperta nokļūšanu Bērna mājā (taksis vai īstermiņa nomas auto) 100,00 </t>
    </r>
    <r>
      <rPr>
        <i/>
        <sz val="11"/>
        <rFont val="Times New Roman"/>
        <family val="1"/>
        <charset val="186"/>
      </rPr>
      <t>euro</t>
    </r>
    <r>
      <rPr>
        <sz val="11"/>
        <rFont val="Times New Roman"/>
        <family val="1"/>
        <charset val="186"/>
      </rPr>
      <t xml:space="preserve"> apmērā uz izbraukumu x 60  = 6 000 </t>
    </r>
    <r>
      <rPr>
        <i/>
        <sz val="11"/>
        <rFont val="Times New Roman"/>
        <family val="1"/>
        <charset val="186"/>
      </rPr>
      <t>euro</t>
    </r>
    <r>
      <rPr>
        <sz val="11"/>
        <rFont val="Times New Roman"/>
        <family val="1"/>
        <charset val="186"/>
      </rPr>
      <t xml:space="preserve"> apmērā);</t>
    </r>
  </si>
  <si>
    <r>
      <t xml:space="preserve">4) 30 tiesu psiholoģiskās ekspertīzes (pakalpojuma līgums ar sertificētiem tiesu psiholoģijas ekspertiem) Bērna mājā eur 560 </t>
    </r>
    <r>
      <rPr>
        <i/>
        <sz val="11"/>
        <rFont val="Times New Roman"/>
        <family val="1"/>
        <charset val="186"/>
      </rPr>
      <t>euro</t>
    </r>
    <r>
      <rPr>
        <sz val="11"/>
        <rFont val="Times New Roman"/>
        <family val="1"/>
        <charset val="186"/>
      </rPr>
      <t xml:space="preserve"> x 30 =  16 800 </t>
    </r>
    <r>
      <rPr>
        <i/>
        <sz val="11"/>
        <rFont val="Times New Roman"/>
        <family val="1"/>
        <charset val="186"/>
      </rPr>
      <t>euro</t>
    </r>
    <r>
      <rPr>
        <sz val="11"/>
        <rFont val="Times New Roman"/>
        <family val="1"/>
        <charset val="186"/>
      </rPr>
      <t xml:space="preserve"> apmērā.</t>
    </r>
  </si>
  <si>
    <t xml:space="preserve">** tiesu medicīnas eksperts(VTMEC), vai tiesu psiholoģijas vai psihiatrijas eksperts(pakalpojuma līgums). </t>
  </si>
  <si>
    <t>3. Nomas maksa</t>
  </si>
  <si>
    <t xml:space="preserve"> Nomas maksa Bērna mājas reģionālā filiāle </t>
  </si>
  <si>
    <r>
      <t>Iznomātā platība m</t>
    </r>
    <r>
      <rPr>
        <vertAlign val="superscript"/>
        <sz val="11"/>
        <rFont val="Times New Roman"/>
        <family val="1"/>
        <charset val="186"/>
      </rPr>
      <t>2</t>
    </r>
  </si>
  <si>
    <r>
      <t>Nomas maksa par m</t>
    </r>
    <r>
      <rPr>
        <vertAlign val="superscript"/>
        <sz val="11"/>
        <rFont val="Times New Roman"/>
        <family val="1"/>
        <charset val="186"/>
      </rPr>
      <t>2</t>
    </r>
  </si>
  <si>
    <t xml:space="preserve">Mēneši </t>
  </si>
  <si>
    <t>4. Komunālie maksājumi</t>
  </si>
  <si>
    <t xml:space="preserve">Komunālie maksājumi,Bērna mājas reģionālā filiāle </t>
  </si>
  <si>
    <t>Komunālie maksājumi mēnesī kopā</t>
  </si>
  <si>
    <t>*visi komunālie kopā ir 4,97 par kvm</t>
  </si>
  <si>
    <t xml:space="preserve">5. Bērna mājas ikdienas izdevumi, Bērna mājas reģionālā filiāle </t>
  </si>
  <si>
    <t>Mēnešu skaits</t>
  </si>
  <si>
    <t>Kancelejas preces</t>
  </si>
  <si>
    <t>Uzkodas bērniem un vecākiem</t>
  </si>
  <si>
    <t>Transporta izmaksas</t>
  </si>
  <si>
    <t>2027.gads</t>
  </si>
  <si>
    <t>2025.gads</t>
  </si>
  <si>
    <t>2028. un turpmāk ik gadu</t>
  </si>
  <si>
    <t>Atlīdzība</t>
  </si>
  <si>
    <t>Finansējums ārrpakalpojuma sniedzējiem</t>
  </si>
  <si>
    <t>Filiāles personāla mācības</t>
  </si>
  <si>
    <t>Filiāles nomas maksa</t>
  </si>
  <si>
    <t>Filiāles komunālie izdevumi</t>
  </si>
  <si>
    <t>Filiāles ikdienas izdevumi</t>
  </si>
  <si>
    <t>Filiāles aprīkojuma izdevumi</t>
  </si>
  <si>
    <r>
      <t xml:space="preserve">Bērna mājas reģionālā 2. filiāle - </t>
    </r>
    <r>
      <rPr>
        <i/>
        <sz val="11"/>
        <rFont val="Times New Roman"/>
        <family val="1"/>
        <charset val="186"/>
      </rPr>
      <t>nepieciešamais papildus finansējums</t>
    </r>
  </si>
  <si>
    <r>
      <t xml:space="preserve">1. Atlīdzība </t>
    </r>
    <r>
      <rPr>
        <sz val="11"/>
        <rFont val="Times New Roman"/>
        <family val="1"/>
        <charset val="186"/>
      </rPr>
      <t>(2027)</t>
    </r>
  </si>
  <si>
    <r>
      <rPr>
        <b/>
        <i/>
        <sz val="11"/>
        <rFont val="Times New Roman"/>
        <family val="1"/>
        <charset val="186"/>
      </rPr>
      <t xml:space="preserve">Supervizors aprēķins:   </t>
    </r>
    <r>
      <rPr>
        <i/>
        <sz val="11"/>
        <rFont val="Times New Roman"/>
        <family val="1"/>
        <charset val="186"/>
      </rPr>
      <t xml:space="preserve">                                                                                                                                                                                                                                                                                                                           
 1.specifiski supervizors(pārraugs) psihologiem (grupu un individuālajai pārraudzībai), saskaņā ar Psihologu likuma prasībām. Psihologam BM ir 2 darba virzieni – veikt bērnu nopratināšanu un nodrošināt atbalsta pakalpojumus un psiholoģisko konsultēšanu. Tādēļ BM psihologiem ir nepieciešamas regulāras supervīzijas pieredzējuša pārrauga vadībā, kam ir iepriekšēja pieredze tieši supervīzējot darbu ar seksuāla vardarbībā cietušiem bērniem un ģimenēm, lai varētu tikt īstenota gadījumu analīze, darba izvērtēšana un darbinieku emocionālā stiprināšana. Šo supervīziju mērķis īstenot psiholoģisko un profesionālo atbalstu Inspekcijas struktūrvienības Bērna māja psihologiem, lai nodrošinātu kvalitatīvu amata pienākumu izpildi ilgtermiņā un mazinātu profesionālās izdegšanas riskus.
80 eur x 2h mēn x 6 mēn =960 euro.
2.BM Komandas supervīzijas Bērna mājas darbiniekiem – komandai ikdienā jāveic darbs ar sarežģītiem vardarbības un seksuālas vardarbības gadījumiem pret bērniem, lai īstenotu bērnu nopratināšanu, organizētu tiesu medicīniskās ekspertīzes un pediatra apskates norisi, plānotu, organizētu un īstenotu atbalsta pakalpojumus cietušajam bērnam un nevardarbīgajiem tuviniekiem. Darbā būs saskarsme ar paaugstinātu emocionālo un psiholoģisko slodzi, tādēļ BM komandai  ir nepieciešamas regulāras supervīzijas pieredzējuša supervizora vadībā, kam ir iepriekšēja pieredze tieši supervīzējot komandas darbu, kas strādā sociālajā, medicīnas vai citā atbalsta profesiju jomā paaugstināta emocionāla un psiholoģiska stresa apstākļos.  Šo supervīziju mērķis nodrošināt psiholoģisko un profesionālo atbalstu Inspekcijas struktūrvienības Bērna māja komandai, lai sniegtu profesionālu atbalstu un nodrošinātu kvalitatīvu amata pienākumu izpildi ilgtermiņā un mazinātu profesionālās izdegšanas riskus.
100 eur x 2h mēn(1 grupas supervīzija pa 2 stundām) x 6 mēn=1200 euro.</t>
    </r>
  </si>
  <si>
    <r>
      <t xml:space="preserve">1) 30 tiesu medicīniskās ekspertīzes - 73,40 </t>
    </r>
    <r>
      <rPr>
        <i/>
        <sz val="11"/>
        <rFont val="Times New Roman"/>
        <family val="1"/>
        <charset val="186"/>
      </rPr>
      <t>euro</t>
    </r>
    <r>
      <rPr>
        <sz val="11"/>
        <rFont val="Times New Roman"/>
        <family val="1"/>
        <charset val="186"/>
      </rPr>
      <t xml:space="preserve"> apmērā atlīdzība tiesu medicīnas ekspertam (summa veidojas no starpības, ko eksperts laika ziņā iztērē Bērna mājā (vidēji 5h) vai ekspertīžu iestādē (vidēji 1h). Starpība  - 4h, stundas likme  18,35  </t>
    </r>
    <r>
      <rPr>
        <i/>
        <sz val="11"/>
        <rFont val="Times New Roman"/>
        <family val="1"/>
        <charset val="186"/>
      </rPr>
      <t>euro</t>
    </r>
    <r>
      <rPr>
        <sz val="11"/>
        <rFont val="Times New Roman"/>
        <family val="1"/>
        <charset val="186"/>
      </rPr>
      <t xml:space="preserve"> x 4h= 73,40 </t>
    </r>
    <r>
      <rPr>
        <i/>
        <sz val="11"/>
        <rFont val="Times New Roman"/>
        <family val="1"/>
        <charset val="186"/>
      </rPr>
      <t>euro</t>
    </r>
    <r>
      <rPr>
        <sz val="11"/>
        <rFont val="Times New Roman"/>
        <family val="1"/>
        <charset val="186"/>
      </rPr>
      <t xml:space="preserve"> apmērā, kopā par 30 izbraukumiem 2 202 </t>
    </r>
    <r>
      <rPr>
        <i/>
        <sz val="11"/>
        <rFont val="Times New Roman"/>
        <family val="1"/>
        <charset val="186"/>
      </rPr>
      <t>euro</t>
    </r>
    <r>
      <rPr>
        <sz val="11"/>
        <rFont val="Times New Roman"/>
        <family val="1"/>
        <charset val="186"/>
      </rPr>
      <t xml:space="preserve"> apmērā);</t>
    </r>
  </si>
  <si>
    <r>
      <t xml:space="preserve">2) transporta izdevumi par eksperta nokļūšanu Bērna mājā (taksis vai īstermiņa nomas auto)  100,00 </t>
    </r>
    <r>
      <rPr>
        <i/>
        <sz val="11"/>
        <rFont val="Times New Roman"/>
        <family val="1"/>
        <charset val="186"/>
      </rPr>
      <t>euro</t>
    </r>
    <r>
      <rPr>
        <sz val="11"/>
        <rFont val="Times New Roman"/>
        <family val="1"/>
        <charset val="186"/>
      </rPr>
      <t xml:space="preserve"> apmērā uz izbraukumu x 30  = 3 000 </t>
    </r>
    <r>
      <rPr>
        <i/>
        <sz val="11"/>
        <rFont val="Times New Roman"/>
        <family val="1"/>
        <charset val="186"/>
      </rPr>
      <t>euro</t>
    </r>
    <r>
      <rPr>
        <sz val="11"/>
        <rFont val="Times New Roman"/>
        <family val="1"/>
        <charset val="186"/>
      </rPr>
      <t xml:space="preserve"> apmērā);</t>
    </r>
  </si>
  <si>
    <r>
      <t xml:space="preserve">3) administrēšanas izmaksas ekspertīžu iestādē(s)  412 euro mēnesī x 6 mēn =  2 474 </t>
    </r>
    <r>
      <rPr>
        <i/>
        <sz val="11"/>
        <rFont val="Times New Roman"/>
        <family val="1"/>
        <charset val="186"/>
      </rPr>
      <t>euro</t>
    </r>
    <r>
      <rPr>
        <sz val="11"/>
        <rFont val="Times New Roman"/>
        <family val="1"/>
        <charset val="186"/>
      </rPr>
      <t xml:space="preserve"> apmērā;</t>
    </r>
  </si>
  <si>
    <r>
      <t xml:space="preserve">Atlīdzība </t>
    </r>
    <r>
      <rPr>
        <sz val="11"/>
        <rFont val="Times New Roman"/>
        <family val="1"/>
        <charset val="186"/>
      </rPr>
      <t>(2028. un turpmāk ik gadu)</t>
    </r>
  </si>
  <si>
    <r>
      <rPr>
        <b/>
        <i/>
        <sz val="11"/>
        <rFont val="Times New Roman"/>
        <family val="1"/>
        <charset val="186"/>
      </rPr>
      <t xml:space="preserve">Supervizors aprēķins:   </t>
    </r>
    <r>
      <rPr>
        <i/>
        <sz val="11"/>
        <rFont val="Times New Roman"/>
        <family val="1"/>
        <charset val="186"/>
      </rPr>
      <t xml:space="preserve">                                                                                                                                                                                                                                                                                                                           
1.specifiski supervizors(pārraugs) psihologiem (grupu un individuālajai pārraudzībai), saskaņā ar Psihologu likuma prasībām. Psihologam BM ir 2 darba virzieni – veikt bērnu nopratināšanu un nodrošināt atbalsta pakalpojumus un psiholoģisko konsultēšanu. Tādēļ BM psihologiem ir nepieciešamas regulāras supervīzijas pieredzējuša pārrauga vadībā, kam ir iepriekšēja pieredze tieši supervīzējot darbu ar seksuāla vardarbībā cietušiem bērniem un ģimenēm, lai varētu tikt īstenota gadījumu analīze, darba izvērtēšana un darbinieku emocionālā stiprināšana. Šo supervīziju mērķis īstenot psiholoģisko un profesionālo atbalstu Inspekcijas struktūrvienības Bērna māja psihologiem, lai nodrošinātu kvalitatīvu amata pienākumu izpildi ilgtermiņā un mazinātu profesionālās izdegšanas riskus.
80 eur x 2h mēn x 12 mēn =1 920 euro.
2.BM Komandas supervīzijas Bērna mājas darbiniekiem – komandai ikdienā jāveic darbs ar sarežģītiem vardarbības un seksuālas vardarbības gadījumiem pret bērniem, lai īstenotu bērnu nopratināšanu, organizētu tiesu medicīniskās ekspertīzes un pediatra apskates norisi, plānotu, organizētu un īstenotu atbalsta pakalpojumus cietušajam bērnam un nevardarbīgajiem tuviniekiem. Darbā būs saskarsme ar paaugstinātu emocionālo un psiholoģisko slodzi, tādēļ BM komandai  ir nepieciešamas regulāras supervīzijas pieredzējuša supervizora vadībā, kam ir iepriekšēja pieredze tieši supervīzējot komandas darbu, kas strādā sociālajā, medicīnas vai citā atbalsta profesiju jomā paaugstināta emocionāla un psiholoģiska stresa apstākļos.  Šo supervīziju mērķis nodrošināt psiholoģisko un profesionālo atbalstu centra truktūrvienības Bērna māja komandai, lai sniegtu profesionālu atbalstu un nodrošinātu kvalitatīvu amata pienākumu izpildi ilgtermiņā un mazinātu profesionālās izdegšanas riskus.
100 eur x 2h mēn(1 grupas supervīzija pa 2 stundām) x 12 mēn=2 400 euro.</t>
    </r>
  </si>
  <si>
    <r>
      <t xml:space="preserve">3) administrēšanas izmaksas tiesu medicīniskās ekspertīzes iestādē(s)  412 </t>
    </r>
    <r>
      <rPr>
        <i/>
        <sz val="11"/>
        <rFont val="Times New Roman"/>
        <family val="1"/>
        <charset val="186"/>
      </rPr>
      <t>euro</t>
    </r>
    <r>
      <rPr>
        <sz val="11"/>
        <rFont val="Times New Roman"/>
        <family val="1"/>
        <charset val="186"/>
      </rPr>
      <t xml:space="preserve"> mēnesī x 12 mēn =  4 944 </t>
    </r>
    <r>
      <rPr>
        <i/>
        <sz val="11"/>
        <rFont val="Times New Roman"/>
        <family val="1"/>
        <charset val="186"/>
      </rPr>
      <t>euro</t>
    </r>
    <r>
      <rPr>
        <sz val="11"/>
        <rFont val="Times New Roman"/>
        <family val="1"/>
        <charset val="186"/>
      </rPr>
      <t xml:space="preserve"> apmērā;</t>
    </r>
  </si>
  <si>
    <r>
      <t>Komunālo izdevumu maksa par m</t>
    </r>
    <r>
      <rPr>
        <vertAlign val="superscript"/>
        <sz val="11"/>
        <rFont val="Times New Roman"/>
        <family val="1"/>
        <charset val="186"/>
      </rPr>
      <t>2</t>
    </r>
  </si>
  <si>
    <r>
      <t xml:space="preserve">Kopsavilkums </t>
    </r>
    <r>
      <rPr>
        <sz val="11"/>
        <rFont val="Times New Roman"/>
        <family val="1"/>
        <charset val="186"/>
      </rPr>
      <t>(papildus nepieciešamais finansējums BM 2. reģionālās filiāles atvēršanai un turpmākās darbības nodrošināšanai)</t>
    </r>
  </si>
  <si>
    <t>Indikatīvais aprēķins pieredzes apmaiņas komandējumam 2027.gadā</t>
  </si>
  <si>
    <t xml:space="preserve"> KOPĀ</t>
  </si>
  <si>
    <t xml:space="preserve">   komandējumu skaits</t>
  </si>
  <si>
    <t xml:space="preserve">   dalībnieku skaits</t>
  </si>
  <si>
    <t xml:space="preserve">   ilgums</t>
  </si>
  <si>
    <t xml:space="preserve">Dienas nauda </t>
  </si>
  <si>
    <r>
      <t xml:space="preserve">MK 12.10.2010. Nr.969 (1.pielikums)
</t>
    </r>
    <r>
      <rPr>
        <i/>
        <sz val="10"/>
        <rFont val="Times New Roman"/>
        <family val="1"/>
        <charset val="186"/>
      </rPr>
      <t>(60 euro x 4 dienas x 2 dalībnieki) x 2 komandējumi = 960 euro</t>
    </r>
  </si>
  <si>
    <t>Pārējie komandējumu un dienesta, darba braucienu izdevumi</t>
  </si>
  <si>
    <t xml:space="preserve">ceļa izdevumi </t>
  </si>
  <si>
    <r>
      <t xml:space="preserve">Ceļa izdevumi jānorāda atbilstoši prognozētājām aviobiļešu izmaksām ekonomiskajā klasē.
</t>
    </r>
    <r>
      <rPr>
        <i/>
        <sz val="10"/>
        <rFont val="Times New Roman"/>
        <family val="1"/>
        <charset val="186"/>
      </rPr>
      <t xml:space="preserve">150 euro (avio biļete vienai pers. turp/atpakaļ) x 2 pers. x 2 komandējumi  = 600 euro </t>
    </r>
    <r>
      <rPr>
        <sz val="10"/>
        <rFont val="Times New Roman"/>
        <family val="1"/>
        <charset val="186"/>
      </rPr>
      <t xml:space="preserve">
</t>
    </r>
  </si>
  <si>
    <t xml:space="preserve">izdevumi par viesnīcu </t>
  </si>
  <si>
    <r>
      <t xml:space="preserve">MK 12.10.2010. Nr.969 (1.pielikums) 260 </t>
    </r>
    <r>
      <rPr>
        <i/>
        <sz val="10"/>
        <rFont val="Times New Roman"/>
        <family val="1"/>
        <charset val="186"/>
      </rPr>
      <t>euro</t>
    </r>
    <r>
      <rPr>
        <sz val="10"/>
        <rFont val="Times New Roman"/>
        <family val="1"/>
        <charset val="186"/>
      </rPr>
      <t xml:space="preserve"> diennakts. 
</t>
    </r>
    <r>
      <rPr>
        <i/>
        <sz val="10"/>
        <rFont val="Times New Roman"/>
        <family val="1"/>
        <charset val="186"/>
      </rPr>
      <t>3 naktis x 260 euro x 2 pers. x 2 komandējumi = 3 120 euro</t>
    </r>
  </si>
  <si>
    <t>apdrošināšanas izdevumi</t>
  </si>
  <si>
    <t>8 euro x 2 pers. x 2 komandējumi = 32 euro</t>
  </si>
  <si>
    <t xml:space="preserve">transporta izdevumi attiecīgajā valstī </t>
  </si>
  <si>
    <r>
      <t xml:space="preserve">MK 12.10.2010. Nr.969 8.9.apakšpunkts - atlīdzina par summu, kas nepārsniedz 30 % no visām komandējuma dienām noteiktās dienas naudas kopsummas (šajā gadījumā tas būtu max 1 pers. 72 </t>
    </r>
    <r>
      <rPr>
        <i/>
        <sz val="10"/>
        <rFont val="Times New Roman"/>
        <family val="1"/>
        <charset val="186"/>
      </rPr>
      <t>euro)</t>
    </r>
    <r>
      <rPr>
        <sz val="10"/>
        <rFont val="Times New Roman"/>
        <family val="1"/>
        <charset val="186"/>
      </rPr>
      <t xml:space="preserve">.
</t>
    </r>
    <r>
      <rPr>
        <i/>
        <sz val="10"/>
        <rFont val="Times New Roman"/>
        <family val="1"/>
        <charset val="186"/>
      </rPr>
      <t>72 euro x 2 pers. x 2 komandējumi = 288 euro</t>
    </r>
  </si>
  <si>
    <t>4.5. Attīstīta starpinstitucionālās sadarbības programmas “Bērna māja” darbība, nodrošināts  atbalsts bērniem, kas cietuši no seksuālās izmantošanas un citiem vardarbības veidiem, un to  nevardarbīgajiem vecākiem vai likumiskajiem pārstāvjiem</t>
  </si>
  <si>
    <t>9.1. Izstrādātas vadlīnijas un algoritms par rīcību, ja ir aizdomas vai tiek konstatēta vardarbība pret bērnu ģimenē, seksuālu izmantošanu, vai ir aizdomas par cilvēku tirdzniecības pazīmēm bērnam</t>
  </si>
  <si>
    <r>
      <t xml:space="preserve">*Aprēķinā izmantota BKUS piedāvātā nomas maksa 6,65 eiro par kvm (Bērna mājai Rīgā), pieņemot, ka tieks slēgts telpu nomas līgums vismaz uz 3 gadiem un nomas maksa paliek nemainīga. 2027. gadā plānots atvērt otro reģionālo bērna māju, īrējot telpas, kas piemērotas Bērna mājas darbam, 150 kvm apmērā un nodarbinot tajā 3 bērna mājas darbiniekus (1 sociālo darbinieku un 2 psihologus) . Komunālie maksājumi (apkure, elektrība, ūdens, kanalizācija) rēķināti pēc formas, kur </t>
    </r>
    <r>
      <rPr>
        <i/>
        <sz val="10"/>
        <color rgb="FFFF0000"/>
        <rFont val="Times New Roman"/>
        <family val="1"/>
        <charset val="186"/>
      </rPr>
      <t>2</t>
    </r>
    <r>
      <rPr>
        <i/>
        <sz val="10"/>
        <rFont val="Times New Roman"/>
        <family val="1"/>
        <charset val="186"/>
      </rPr>
      <t xml:space="preserve"> eiro par kvadrātmetru ir apkures izdevumi mēnesī un 2.97 eiro visi pārējie izdevumi (elektrība, ūdens, kanalizācija). </t>
    </r>
  </si>
  <si>
    <t xml:space="preserve">speciālistu skaits/ personu skaits grupā </t>
  </si>
  <si>
    <t>ilgums, h/ nodarbību skaits</t>
  </si>
  <si>
    <t>2026.gads</t>
  </si>
  <si>
    <r>
      <t xml:space="preserve">Bērna mājas ikdienas izdevumiem Bērna mājas reģionālajā filiālē 2027. gadā (kancelejas preču izmaksas, uzkodas bērniem un vecākiem, transporta izmaksas (ieskaitot transporta izmaksas 750 eur apmerā Bērna mājas klientiem bērna nopratināšanu Bērna mājā, ja nepieciešams, kā arī 2027. gada 6 mēn. 20 x izbraucieni BM Rīgas psihologam uz reģionu, periodā, kamēr filiāles psihologs mācās nopratināšanu, kas veido summu 20 x 200 km x 2(turp atpakaļ), pieņemot patēriņu 7l/100km un degvielas prognozēto cenu 1,65 eur/l=924 eur), kas kopā 6 mēnešu laikposmam veido 3 768 euro). Uzkodas bērniem un vecākiem ir domātas situācijām, kad bērni atbraukuši no tālāka reģiona vai uzturas Bērna mājā visu dienu – tad ir iespēja padzert tēju vai kafiju (bērniem suliņu), apēst kādu uzkodu vai pusdienas. </t>
    </r>
    <r>
      <rPr>
        <i/>
        <sz val="11"/>
        <color rgb="FFFF0000"/>
        <rFont val="Times New Roman"/>
        <family val="1"/>
        <charset val="186"/>
      </rPr>
      <t>2028. gadā 12 mēnešiem transporta izmaksas Bērna mājas klientiem 1 500 euro.</t>
    </r>
  </si>
  <si>
    <t>******</t>
  </si>
  <si>
    <t>tuvu 20%</t>
  </si>
  <si>
    <t>2027., 2028., 2029. gadā 5% pieaugums (prognozētais darba samaksas, preču un pakalpojumu cenu pieaugums). Analizējot Labklājības ministrijas pieredzi  sociālās rehabilitācijas pakalpojumu finansēšanā secināts, ka ik gadu valsts finansēto sociālās rehabilitācijas un psihosociālās rehabilitācijas pakalpojumu izdevumi (cena) pieaug ne mazāk kā vidēji par 5%. Pieaugumu ietekmē ne tikai preču un pakalpojumu cenu inflācija*, bet arī strādājošo mēneša vidējās darba samaksas pieaugums**. Pakalpojuma sniegšanā tieši iesaistīto, t.sk. pakalpojuma administrēšanā iesaistīto speciālistu atlīdzība proporcionāli veido lielāko daļu no pakalpojuma kopējiem izdevumiem, attiecīgi pakalpojuma izdevumu/cenas pieaugums prognozējams lielāks nekā FM prognozētā patēriņa cenu inflācija. 
Plānojot izdevumu pieaugumu gadā par 5% tiek mazināts risks, ka, lai nodrošinātu pakalpojumu atbilstošā kvalitātē, jāpieņem lēmums par personu skaitu, kurām tiek nodrošināts pakalpojums, samazināšanu. 
*atbilstoši FM makroekonomiskajām prognozēm, no 2025. gada ik gadu plānots patēriņa cena pieaugums par 2% gadā; https://www.fm.gov.lv/lv/media/18273/download?attachment
* *atbilstoši valsts Centrālās statistikas pārvaldes datiem, strādājošo mēneša vidējā darba samaksa periodā no 2021. līdz 2023. gadam pieaugusi vidēji gadā par 10%. https://data.stat.gov.lv/pxweb/lv/OSP_PUB/START__EMP__DS__DSV/DSV010/table/tableViewLayout1/</t>
  </si>
  <si>
    <r>
      <t xml:space="preserve">Administrēšanas izdevumi 10% </t>
    </r>
    <r>
      <rPr>
        <sz val="9"/>
        <color rgb="FFFF0000"/>
        <rFont val="Times New Roman"/>
        <family val="1"/>
        <charset val="186"/>
      </rPr>
      <t>******</t>
    </r>
  </si>
  <si>
    <t>8=7 x 10%</t>
  </si>
  <si>
    <t>10% administrēšanas izdevumi no pakalpojuma kopējiem izdevumiem ietver  juridiskos, finanšu uzskaites un grāmatvedības, lietvedības, IT pakalpojumu, mārketinga un komunikācijas izdevumus.</t>
  </si>
  <si>
    <t>2027. gadā  2 psihologiem, kas uzsāks darbu Bērna mājas regionālajā filiālē būs nepieciešamas apmācības par cietušo bērnu nopratināšanu (1500x2=3000). Latvijā šāda veida apmācības nav pieejamas, tādēļ BM psihologiem nepieciešamas ārvalstu ekspertu apmācības, ko organizē Promise Barnahus tīkls (Latvija ir dalībvalsts) vai Children Advocacuy center USA.  Tāpat 2027. gadā ir nepieciešamas TF KBT (uz Traumu Fokusēta Kognitīvi Biheiviorālā terapija) 2 jaunajiem psihologiem, kas uzsāks darbu BM foiliālē, lai varētu veikt rehabilitācijas funkciju BM, provizoriskās izmaskas ir 1000 euro par vienu kursu, kurā ietilpst teorijas sadaļa, praktiskās nodarbības un supervīzija 6 mēnešu garumā (1000x2=2000). Bērna mājas personāla apmācībām (starpinstitucinālā sadarbība, darba ar dažādām mērķgrupām, kvalifikācijas celšana u.c.) ik gadu paredzēti  500 euro uz vienu darbinieku ik gadu, 2027.g. 3x500=1 500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</si>
</sst>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43"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sz val="12"/>
      <color theme="1"/>
      <name val="Times New Roman"/>
      <family val="1"/>
      <charset val="186"/>
    </font>
    <font>
      <sz val="12"/>
      <name val="Times New Roman"/>
      <family val="1"/>
      <charset val="186"/>
    </font>
    <font>
      <b/>
      <sz val="11"/>
      <color theme="1"/>
      <name val="Calibri"/>
      <family val="2"/>
      <charset val="186"/>
      <scheme val="minor"/>
    </font>
    <font>
      <sz val="11"/>
      <name val="Times New Roman"/>
      <family val="1"/>
      <charset val="186"/>
    </font>
    <font>
      <sz val="11"/>
      <color rgb="FFFF0000"/>
      <name val="Times New Roman"/>
      <family val="1"/>
      <charset val="186"/>
    </font>
    <font>
      <sz val="9"/>
      <name val="Times New Roman"/>
      <family val="1"/>
      <charset val="186"/>
    </font>
    <font>
      <i/>
      <sz val="9"/>
      <name val="Times New Roman"/>
      <family val="1"/>
      <charset val="186"/>
    </font>
    <font>
      <i/>
      <sz val="8"/>
      <name val="Times New Roman"/>
      <family val="1"/>
      <charset val="186"/>
    </font>
    <font>
      <sz val="8"/>
      <name val="Times New Roman"/>
      <family val="1"/>
      <charset val="186"/>
    </font>
    <font>
      <sz val="7"/>
      <name val="Times New Roman"/>
      <family val="1"/>
      <charset val="186"/>
    </font>
    <font>
      <i/>
      <sz val="7"/>
      <name val="Times New Roman"/>
      <family val="1"/>
      <charset val="186"/>
    </font>
    <font>
      <u/>
      <sz val="8"/>
      <name val="Times New Roman"/>
      <family val="1"/>
      <charset val="186"/>
    </font>
    <font>
      <b/>
      <sz val="9"/>
      <color indexed="81"/>
      <name val="Tahoma"/>
      <family val="2"/>
      <charset val="186"/>
    </font>
    <font>
      <sz val="9"/>
      <color indexed="81"/>
      <name val="Tahoma"/>
      <family val="2"/>
      <charset val="186"/>
    </font>
    <font>
      <i/>
      <sz val="8"/>
      <color theme="1"/>
      <name val="Calibri"/>
      <family val="2"/>
      <charset val="186"/>
      <scheme val="minor"/>
    </font>
    <font>
      <b/>
      <sz val="11"/>
      <color theme="1"/>
      <name val="Times New Roman"/>
      <family val="1"/>
      <charset val="186"/>
    </font>
    <font>
      <sz val="11"/>
      <color theme="1"/>
      <name val="Calibri"/>
      <family val="2"/>
      <scheme val="minor"/>
    </font>
    <font>
      <b/>
      <i/>
      <sz val="11"/>
      <color theme="1"/>
      <name val="Times New Roman"/>
      <family val="1"/>
      <charset val="186"/>
    </font>
    <font>
      <b/>
      <sz val="11"/>
      <name val="Times New Roman"/>
      <family val="1"/>
      <charset val="186"/>
    </font>
    <font>
      <sz val="10"/>
      <name val="Times New Roman"/>
      <family val="1"/>
      <charset val="186"/>
    </font>
    <font>
      <b/>
      <sz val="11"/>
      <color rgb="FFFF0000"/>
      <name val="Times New Roman"/>
      <family val="1"/>
      <charset val="186"/>
    </font>
    <font>
      <sz val="10"/>
      <color theme="1"/>
      <name val="Times New Roman"/>
      <family val="1"/>
      <charset val="186"/>
    </font>
    <font>
      <i/>
      <sz val="11"/>
      <name val="Times New Roman"/>
      <family val="1"/>
      <charset val="186"/>
    </font>
    <font>
      <b/>
      <sz val="10"/>
      <name val="Times New Roman"/>
      <family val="1"/>
      <charset val="186"/>
    </font>
    <font>
      <sz val="10"/>
      <color theme="1"/>
      <name val="Arial"/>
      <family val="2"/>
      <charset val="186"/>
    </font>
    <font>
      <sz val="10"/>
      <name val="Arial"/>
      <family val="2"/>
      <charset val="186"/>
    </font>
    <font>
      <sz val="10"/>
      <name val="Times New Roman Baltic"/>
      <charset val="186"/>
    </font>
    <font>
      <i/>
      <sz val="10"/>
      <name val="Times New Roman"/>
      <family val="1"/>
      <charset val="186"/>
    </font>
    <font>
      <b/>
      <i/>
      <sz val="11"/>
      <name val="Times New Roman"/>
      <family val="1"/>
      <charset val="186"/>
    </font>
    <font>
      <vertAlign val="superscript"/>
      <sz val="11"/>
      <name val="Times New Roman"/>
      <family val="1"/>
      <charset val="186"/>
    </font>
    <font>
      <i/>
      <sz val="11"/>
      <color theme="1"/>
      <name val="Times New Roman"/>
      <family val="1"/>
      <charset val="186"/>
    </font>
    <font>
      <b/>
      <sz val="10"/>
      <color theme="1"/>
      <name val="Times New Roman"/>
      <family val="1"/>
      <charset val="186"/>
    </font>
    <font>
      <b/>
      <sz val="12"/>
      <name val="Times New Roman"/>
      <family val="1"/>
      <charset val="186"/>
    </font>
    <font>
      <i/>
      <sz val="10"/>
      <color rgb="FFFF0000"/>
      <name val="Times New Roman"/>
      <family val="1"/>
      <charset val="186"/>
    </font>
    <font>
      <sz val="7"/>
      <color rgb="FFFF0000"/>
      <name val="Times New Roman"/>
      <family val="1"/>
      <charset val="186"/>
    </font>
    <font>
      <i/>
      <sz val="11"/>
      <color rgb="FFFF0000"/>
      <name val="Times New Roman"/>
      <family val="1"/>
      <charset val="186"/>
    </font>
    <font>
      <sz val="11"/>
      <color rgb="FFFF0000"/>
      <name val="Calibri"/>
      <family val="2"/>
      <scheme val="minor"/>
    </font>
    <font>
      <sz val="9"/>
      <color rgb="FFFF0000"/>
      <name val="Times New Roman"/>
      <family val="1"/>
      <charset val="186"/>
    </font>
    <font>
      <i/>
      <sz val="8"/>
      <name val="Calibri"/>
      <family val="2"/>
      <charset val="186"/>
      <scheme val="minor"/>
    </font>
  </fonts>
  <fills count="8">
    <fill>
      <patternFill patternType="none"/>
    </fill>
    <fill>
      <patternFill patternType="gray125"/>
    </fill>
    <fill>
      <patternFill patternType="solid">
        <fgColor rgb="FF92D050"/>
        <bgColor indexed="64"/>
      </patternFill>
    </fill>
    <fill>
      <patternFill patternType="solid">
        <fgColor theme="9" tint="0.39997558519241921"/>
        <bgColor indexed="64"/>
      </patternFill>
    </fill>
    <fill>
      <patternFill patternType="solid">
        <fgColor indexed="9"/>
        <bgColor indexed="64"/>
      </patternFill>
    </fill>
    <fill>
      <patternFill patternType="solid">
        <fgColor theme="0"/>
        <bgColor indexed="64"/>
      </patternFill>
    </fill>
    <fill>
      <patternFill patternType="solid">
        <fgColor indexed="22"/>
        <bgColor indexed="64"/>
      </patternFill>
    </fill>
    <fill>
      <patternFill patternType="solid">
        <fgColor theme="0" tint="-4.9989318521683403E-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style="thin">
        <color auto="1"/>
      </bottom>
      <diagonal/>
    </border>
    <border>
      <left style="thin">
        <color indexed="64"/>
      </left>
      <right style="medium">
        <color indexed="64"/>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7">
    <xf numFmtId="0" fontId="0" fillId="0" borderId="0"/>
    <xf numFmtId="0" fontId="2" fillId="0" borderId="0"/>
    <xf numFmtId="0" fontId="28" fillId="0" borderId="0"/>
    <xf numFmtId="0" fontId="29" fillId="0" borderId="0"/>
    <xf numFmtId="0" fontId="30" fillId="0" borderId="0"/>
    <xf numFmtId="0" fontId="2" fillId="0" borderId="0"/>
    <xf numFmtId="0" fontId="29" fillId="0" borderId="0"/>
  </cellStyleXfs>
  <cellXfs count="266">
    <xf numFmtId="0" fontId="0" fillId="0" borderId="0" xfId="0"/>
    <xf numFmtId="0" fontId="4" fillId="0" borderId="0" xfId="0" applyFont="1"/>
    <xf numFmtId="0" fontId="8" fillId="0" borderId="0" xfId="0" applyFont="1"/>
    <xf numFmtId="0" fontId="9" fillId="0" borderId="1" xfId="0" applyFont="1" applyBorder="1" applyAlignment="1">
      <alignment horizontal="center" wrapText="1"/>
    </xf>
    <xf numFmtId="0" fontId="10" fillId="0" borderId="1" xfId="0" applyFont="1" applyBorder="1" applyAlignment="1">
      <alignment horizontal="center" wrapText="1"/>
    </xf>
    <xf numFmtId="3" fontId="7" fillId="0" borderId="1" xfId="0" applyNumberFormat="1" applyFont="1" applyBorder="1"/>
    <xf numFmtId="0" fontId="11" fillId="0" borderId="0" xfId="0" applyFont="1" applyAlignment="1">
      <alignment vertical="top"/>
    </xf>
    <xf numFmtId="0" fontId="7" fillId="0" borderId="0" xfId="0" applyFont="1"/>
    <xf numFmtId="0" fontId="12" fillId="0" borderId="0" xfId="0" applyFont="1"/>
    <xf numFmtId="0" fontId="12" fillId="0" borderId="1" xfId="0" applyFont="1" applyBorder="1" applyAlignment="1">
      <alignment horizontal="center"/>
    </xf>
    <xf numFmtId="0" fontId="0" fillId="0" borderId="0" xfId="0" applyFill="1" applyBorder="1" applyAlignment="1">
      <alignment horizontal="center" vertical="center"/>
    </xf>
    <xf numFmtId="0" fontId="0" fillId="0" borderId="0" xfId="0" applyBorder="1"/>
    <xf numFmtId="0" fontId="9" fillId="0" borderId="1" xfId="0" applyFont="1" applyBorder="1" applyAlignment="1">
      <alignment horizontal="center"/>
    </xf>
    <xf numFmtId="3" fontId="10" fillId="0" borderId="1" xfId="0" applyNumberFormat="1" applyFont="1" applyBorder="1" applyAlignment="1">
      <alignment horizontal="center" wrapText="1"/>
    </xf>
    <xf numFmtId="3" fontId="9" fillId="0" borderId="1" xfId="0" applyNumberFormat="1" applyFont="1" applyBorder="1" applyAlignment="1">
      <alignment horizontal="right" wrapText="1"/>
    </xf>
    <xf numFmtId="0" fontId="9" fillId="0" borderId="1" xfId="0" applyFont="1" applyFill="1" applyBorder="1" applyAlignment="1">
      <alignment horizontal="center"/>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Border="1" applyAlignment="1">
      <alignment horizontal="center" vertical="center" wrapText="1"/>
    </xf>
    <xf numFmtId="3" fontId="9" fillId="0" borderId="1" xfId="0" applyNumberFormat="1" applyFont="1" applyBorder="1" applyAlignment="1">
      <alignment horizontal="center"/>
    </xf>
    <xf numFmtId="3" fontId="9" fillId="0" borderId="1" xfId="0" applyNumberFormat="1" applyFont="1" applyBorder="1" applyAlignment="1">
      <alignment horizontal="right"/>
    </xf>
    <xf numFmtId="0" fontId="7" fillId="0" borderId="0" xfId="0" applyFont="1" applyAlignment="1">
      <alignment horizontal="right"/>
    </xf>
    <xf numFmtId="0" fontId="10" fillId="0" borderId="0" xfId="0" applyFont="1"/>
    <xf numFmtId="0" fontId="13" fillId="0" borderId="0" xfId="0" applyFont="1" applyAlignment="1">
      <alignment horizontal="center"/>
    </xf>
    <xf numFmtId="2" fontId="12" fillId="0" borderId="0" xfId="0" applyNumberFormat="1" applyFont="1"/>
    <xf numFmtId="0" fontId="12" fillId="0" borderId="0" xfId="0" applyFont="1" applyAlignment="1">
      <alignment horizontal="center"/>
    </xf>
    <xf numFmtId="4" fontId="12" fillId="0" borderId="0" xfId="0" applyNumberFormat="1" applyFont="1"/>
    <xf numFmtId="0" fontId="14" fillId="0" borderId="0" xfId="0" applyFont="1"/>
    <xf numFmtId="4" fontId="15" fillId="0" borderId="0" xfId="0" applyNumberFormat="1" applyFont="1"/>
    <xf numFmtId="0" fontId="10" fillId="0" borderId="0" xfId="0" applyFont="1" applyFill="1" applyBorder="1"/>
    <xf numFmtId="0" fontId="13" fillId="0" borderId="0" xfId="0" applyFont="1" applyAlignment="1">
      <alignment horizontal="center" wrapText="1"/>
    </xf>
    <xf numFmtId="0" fontId="0" fillId="0" borderId="1" xfId="0" applyBorder="1"/>
    <xf numFmtId="0" fontId="0" fillId="2" borderId="1" xfId="0" applyFill="1" applyBorder="1"/>
    <xf numFmtId="0" fontId="18" fillId="0" borderId="0" xfId="0" applyFont="1"/>
    <xf numFmtId="0" fontId="6" fillId="0" borderId="1" xfId="0" applyFont="1" applyFill="1" applyBorder="1"/>
    <xf numFmtId="0" fontId="19" fillId="0" borderId="0" xfId="0" applyFont="1" applyBorder="1" applyAlignment="1">
      <alignment horizontal="center" wrapText="1"/>
    </xf>
    <xf numFmtId="0" fontId="19" fillId="0" borderId="0" xfId="0" applyFont="1" applyBorder="1" applyAlignment="1">
      <alignment horizontal="center"/>
    </xf>
    <xf numFmtId="0" fontId="0" fillId="0" borderId="1" xfId="0" applyBorder="1" applyAlignment="1">
      <alignment horizontal="center" vertical="center"/>
    </xf>
    <xf numFmtId="0" fontId="0" fillId="2" borderId="1" xfId="0" applyFill="1" applyBorder="1" applyAlignment="1">
      <alignment horizontal="center" vertical="center"/>
    </xf>
    <xf numFmtId="1" fontId="0" fillId="0" borderId="1" xfId="0" applyNumberFormat="1" applyBorder="1"/>
    <xf numFmtId="0" fontId="5" fillId="0" borderId="0" xfId="0" applyFont="1" applyBorder="1" applyAlignment="1">
      <alignment horizontal="justify" vertical="center" wrapText="1"/>
    </xf>
    <xf numFmtId="1" fontId="0" fillId="2" borderId="1" xfId="0" applyNumberFormat="1" applyFill="1" applyBorder="1"/>
    <xf numFmtId="164" fontId="0" fillId="0" borderId="1" xfId="0" applyNumberFormat="1" applyBorder="1"/>
    <xf numFmtId="0" fontId="3" fillId="0" borderId="0" xfId="1" applyFont="1"/>
    <xf numFmtId="0" fontId="3" fillId="0" borderId="0" xfId="1" applyFont="1" applyAlignment="1">
      <alignment horizontal="center" wrapText="1"/>
    </xf>
    <xf numFmtId="0" fontId="3" fillId="0" borderId="4" xfId="1" applyFont="1" applyBorder="1"/>
    <xf numFmtId="0" fontId="3" fillId="0" borderId="7" xfId="1" applyFont="1" applyBorder="1"/>
    <xf numFmtId="3" fontId="19" fillId="0" borderId="1" xfId="1" applyNumberFormat="1" applyFont="1" applyBorder="1" applyAlignment="1">
      <alignment horizontal="center" vertical="center" wrapText="1"/>
    </xf>
    <xf numFmtId="0" fontId="3" fillId="0" borderId="1" xfId="1" applyFont="1" applyBorder="1"/>
    <xf numFmtId="3" fontId="3" fillId="0" borderId="1" xfId="1" applyNumberFormat="1" applyFont="1" applyBorder="1"/>
    <xf numFmtId="0" fontId="3" fillId="0" borderId="1" xfId="1" applyFont="1" applyBorder="1" applyAlignment="1">
      <alignment horizontal="center" vertical="center"/>
    </xf>
    <xf numFmtId="0" fontId="22" fillId="0" borderId="1" xfId="1" applyFont="1" applyBorder="1" applyAlignment="1">
      <alignment horizontal="center" vertical="center"/>
    </xf>
    <xf numFmtId="0" fontId="23" fillId="0" borderId="1" xfId="1" applyFont="1" applyBorder="1" applyAlignment="1">
      <alignment horizontal="center" vertical="center" wrapText="1"/>
    </xf>
    <xf numFmtId="0" fontId="19" fillId="0" borderId="1" xfId="1" applyFont="1" applyBorder="1"/>
    <xf numFmtId="0" fontId="24" fillId="0" borderId="1" xfId="1" applyFont="1" applyBorder="1" applyAlignment="1">
      <alignment horizontal="center" vertical="center"/>
    </xf>
    <xf numFmtId="0" fontId="25" fillId="0" borderId="1" xfId="1" applyFont="1" applyBorder="1" applyAlignment="1">
      <alignment horizontal="left" vertical="center" wrapText="1"/>
    </xf>
    <xf numFmtId="0" fontId="3" fillId="0" borderId="0" xfId="1" applyFont="1" applyAlignment="1">
      <alignment horizontal="center" vertical="center"/>
    </xf>
    <xf numFmtId="0" fontId="24" fillId="0" borderId="0" xfId="1" applyFont="1" applyAlignment="1">
      <alignment horizontal="center" vertical="center"/>
    </xf>
    <xf numFmtId="3" fontId="7" fillId="0" borderId="0" xfId="1" applyNumberFormat="1" applyFont="1"/>
    <xf numFmtId="3" fontId="3" fillId="0" borderId="0" xfId="1" applyNumberFormat="1" applyFont="1"/>
    <xf numFmtId="0" fontId="7" fillId="0" borderId="0" xfId="1" applyFont="1"/>
    <xf numFmtId="0" fontId="26" fillId="0" borderId="0" xfId="1" applyFont="1" applyAlignment="1">
      <alignment horizontal="left" wrapText="1"/>
    </xf>
    <xf numFmtId="0" fontId="7" fillId="0" borderId="0" xfId="1" applyFont="1" applyAlignment="1">
      <alignment horizontal="left" wrapText="1"/>
    </xf>
    <xf numFmtId="0" fontId="22" fillId="0" borderId="0" xfId="1" applyFont="1"/>
    <xf numFmtId="0" fontId="7" fillId="0" borderId="1" xfId="2" applyFont="1" applyBorder="1" applyAlignment="1">
      <alignment horizontal="center" vertical="center" wrapText="1"/>
    </xf>
    <xf numFmtId="0" fontId="26" fillId="0" borderId="1" xfId="2" applyFont="1" applyBorder="1" applyAlignment="1">
      <alignment horizontal="left" vertical="center" wrapText="1"/>
    </xf>
    <xf numFmtId="49" fontId="26" fillId="5" borderId="1" xfId="2" applyNumberFormat="1" applyFont="1" applyFill="1" applyBorder="1" applyAlignment="1">
      <alignment horizontal="center" vertical="center" wrapText="1"/>
    </xf>
    <xf numFmtId="0" fontId="26" fillId="5" borderId="1" xfId="2" applyFont="1" applyFill="1" applyBorder="1" applyAlignment="1">
      <alignment horizontal="center" vertical="center" wrapText="1"/>
    </xf>
    <xf numFmtId="3" fontId="26" fillId="4" borderId="1" xfId="2" applyNumberFormat="1" applyFont="1" applyFill="1" applyBorder="1" applyAlignment="1">
      <alignment horizontal="center" vertical="center" wrapText="1"/>
    </xf>
    <xf numFmtId="3" fontId="26" fillId="0" borderId="0" xfId="4" applyNumberFormat="1" applyFont="1" applyAlignment="1">
      <alignment horizontal="center" vertical="center"/>
    </xf>
    <xf numFmtId="3" fontId="26" fillId="0" borderId="1" xfId="4" applyNumberFormat="1" applyFont="1" applyBorder="1" applyAlignment="1">
      <alignment horizontal="center" vertical="center"/>
    </xf>
    <xf numFmtId="4" fontId="26" fillId="0" borderId="1" xfId="4" applyNumberFormat="1" applyFont="1" applyBorder="1" applyAlignment="1">
      <alignment horizontal="center" vertical="center"/>
    </xf>
    <xf numFmtId="49" fontId="26" fillId="0" borderId="1" xfId="2" applyNumberFormat="1" applyFont="1" applyBorder="1" applyAlignment="1">
      <alignment horizontal="center" vertical="center" wrapText="1"/>
    </xf>
    <xf numFmtId="0" fontId="26" fillId="0" borderId="1" xfId="2" applyFont="1" applyBorder="1" applyAlignment="1">
      <alignment horizontal="center" vertical="center" wrapText="1"/>
    </xf>
    <xf numFmtId="3" fontId="26" fillId="4" borderId="8" xfId="2" applyNumberFormat="1" applyFont="1" applyFill="1" applyBorder="1" applyAlignment="1">
      <alignment horizontal="center" vertical="center" wrapText="1"/>
    </xf>
    <xf numFmtId="0" fontId="26" fillId="0" borderId="1" xfId="4" applyFont="1" applyBorder="1" applyAlignment="1">
      <alignment horizontal="left" vertical="top" wrapText="1"/>
    </xf>
    <xf numFmtId="3" fontId="26" fillId="0" borderId="8" xfId="2" applyNumberFormat="1" applyFont="1" applyBorder="1" applyAlignment="1">
      <alignment horizontal="center" vertical="center" wrapText="1"/>
    </xf>
    <xf numFmtId="0" fontId="22" fillId="6" borderId="1" xfId="2" applyFont="1" applyFill="1" applyBorder="1" applyAlignment="1">
      <alignment horizontal="right" vertical="center" wrapText="1"/>
    </xf>
    <xf numFmtId="3" fontId="22" fillId="6" borderId="1" xfId="2" applyNumberFormat="1" applyFont="1" applyFill="1" applyBorder="1" applyAlignment="1">
      <alignment horizontal="center" vertical="center" wrapText="1"/>
    </xf>
    <xf numFmtId="49" fontId="7" fillId="6" borderId="1" xfId="2" applyNumberFormat="1" applyFont="1" applyFill="1" applyBorder="1" applyAlignment="1">
      <alignment horizontal="center"/>
    </xf>
    <xf numFmtId="0" fontId="7" fillId="6" borderId="1" xfId="2" applyFont="1" applyFill="1" applyBorder="1" applyAlignment="1">
      <alignment horizontal="center"/>
    </xf>
    <xf numFmtId="4" fontId="22" fillId="6" borderId="1" xfId="2" applyNumberFormat="1" applyFont="1" applyFill="1" applyBorder="1" applyAlignment="1">
      <alignment horizontal="center" vertical="center" wrapText="1"/>
    </xf>
    <xf numFmtId="0" fontId="22" fillId="0" borderId="0" xfId="1" applyFont="1" applyAlignment="1">
      <alignment horizontal="left" vertical="center"/>
    </xf>
    <xf numFmtId="0" fontId="7" fillId="0" borderId="0" xfId="1" applyFont="1" applyAlignment="1">
      <alignment horizontal="left"/>
    </xf>
    <xf numFmtId="0" fontId="7" fillId="0" borderId="0" xfId="1" applyFont="1" applyAlignment="1">
      <alignment vertical="center"/>
    </xf>
    <xf numFmtId="4" fontId="7" fillId="0" borderId="1" xfId="1" applyNumberFormat="1" applyFont="1" applyBorder="1"/>
    <xf numFmtId="0" fontId="26" fillId="0" borderId="0" xfId="1" applyFont="1" applyAlignment="1">
      <alignment vertical="center"/>
    </xf>
    <xf numFmtId="3" fontId="26" fillId="0" borderId="0" xfId="1" applyNumberFormat="1" applyFont="1" applyAlignment="1">
      <alignment vertical="center"/>
    </xf>
    <xf numFmtId="4" fontId="22" fillId="0" borderId="1" xfId="1" applyNumberFormat="1" applyFont="1" applyBorder="1"/>
    <xf numFmtId="0" fontId="26" fillId="0" borderId="0" xfId="1" applyFont="1" applyAlignment="1">
      <alignment horizontal="left" vertical="center"/>
    </xf>
    <xf numFmtId="0" fontId="26" fillId="0" borderId="0" xfId="1" applyFont="1" applyAlignment="1">
      <alignment horizontal="right" vertical="center" wrapText="1"/>
    </xf>
    <xf numFmtId="3" fontId="22" fillId="0" borderId="0" xfId="1" applyNumberFormat="1" applyFont="1"/>
    <xf numFmtId="0" fontId="22" fillId="0" borderId="0" xfId="1" applyFont="1" applyAlignment="1">
      <alignment vertical="center"/>
    </xf>
    <xf numFmtId="0" fontId="26" fillId="0" borderId="0" xfId="1" applyFont="1" applyAlignment="1">
      <alignment horizontal="left" vertical="center" wrapText="1"/>
    </xf>
    <xf numFmtId="4" fontId="7" fillId="0" borderId="1" xfId="1" applyNumberFormat="1" applyFont="1" applyBorder="1" applyAlignment="1">
      <alignment horizontal="center" vertical="center" wrapText="1"/>
    </xf>
    <xf numFmtId="0" fontId="32" fillId="0" borderId="1" xfId="1" applyFont="1" applyBorder="1" applyAlignment="1">
      <alignment horizontal="right" vertical="center" wrapText="1"/>
    </xf>
    <xf numFmtId="4" fontId="22" fillId="0" borderId="1" xfId="1" applyNumberFormat="1" applyFont="1" applyBorder="1" applyAlignment="1">
      <alignment horizontal="center" vertical="center" wrapText="1"/>
    </xf>
    <xf numFmtId="0" fontId="7" fillId="0" borderId="0" xfId="1" applyFont="1" applyAlignment="1">
      <alignment horizontal="left" vertical="center" wrapText="1"/>
    </xf>
    <xf numFmtId="0" fontId="7" fillId="0" borderId="0" xfId="1" applyFont="1" applyAlignment="1">
      <alignment horizontal="left" vertical="center"/>
    </xf>
    <xf numFmtId="0" fontId="7" fillId="0" borderId="0" xfId="1" applyFont="1" applyAlignment="1">
      <alignment horizontal="right" vertical="center" wrapText="1"/>
    </xf>
    <xf numFmtId="0" fontId="7" fillId="0" borderId="0" xfId="1" applyFont="1" applyAlignment="1">
      <alignment horizontal="left" vertical="center" indent="5"/>
    </xf>
    <xf numFmtId="0" fontId="7" fillId="0" borderId="1" xfId="1" applyFont="1" applyBorder="1" applyAlignment="1">
      <alignment horizontal="right" vertical="center"/>
    </xf>
    <xf numFmtId="4" fontId="7" fillId="0" borderId="1" xfId="1" applyNumberFormat="1" applyFont="1" applyBorder="1" applyAlignment="1">
      <alignment horizontal="center"/>
    </xf>
    <xf numFmtId="0" fontId="7" fillId="0" borderId="0" xfId="1" applyFont="1" applyAlignment="1">
      <alignment horizontal="right" vertical="center"/>
    </xf>
    <xf numFmtId="3" fontId="7" fillId="0" borderId="0" xfId="1" applyNumberFormat="1" applyFont="1" applyAlignment="1">
      <alignment horizontal="left" vertical="center" wrapText="1"/>
    </xf>
    <xf numFmtId="4" fontId="22" fillId="0" borderId="0" xfId="1" applyNumberFormat="1" applyFont="1" applyAlignment="1">
      <alignment horizontal="center" vertical="center" wrapText="1"/>
    </xf>
    <xf numFmtId="0" fontId="22" fillId="0" borderId="0" xfId="1" applyFont="1" applyAlignment="1">
      <alignment horizontal="left"/>
    </xf>
    <xf numFmtId="0" fontId="7" fillId="0" borderId="1" xfId="1" applyFont="1" applyBorder="1" applyAlignment="1">
      <alignment horizontal="left"/>
    </xf>
    <xf numFmtId="0" fontId="7" fillId="0" borderId="1" xfId="1" applyFont="1" applyBorder="1"/>
    <xf numFmtId="0" fontId="7" fillId="0" borderId="1" xfId="1" applyFont="1" applyBorder="1" applyAlignment="1">
      <alignment horizontal="center" vertical="center" wrapText="1"/>
    </xf>
    <xf numFmtId="0" fontId="7" fillId="0" borderId="1" xfId="1" applyFont="1" applyBorder="1" applyAlignment="1">
      <alignment horizontal="center" wrapText="1"/>
    </xf>
    <xf numFmtId="3" fontId="7" fillId="0" borderId="1" xfId="1" applyNumberFormat="1" applyFont="1" applyBorder="1"/>
    <xf numFmtId="0" fontId="7" fillId="0" borderId="1" xfId="1" applyFont="1" applyBorder="1" applyAlignment="1">
      <alignment horizontal="center"/>
    </xf>
    <xf numFmtId="3" fontId="7" fillId="0" borderId="1" xfId="1" applyNumberFormat="1" applyFont="1" applyBorder="1" applyAlignment="1">
      <alignment horizontal="center"/>
    </xf>
    <xf numFmtId="3" fontId="22" fillId="0" borderId="0" xfId="1" applyNumberFormat="1" applyFont="1" applyAlignment="1">
      <alignment horizontal="center" vertical="center" wrapText="1"/>
    </xf>
    <xf numFmtId="0" fontId="7" fillId="0" borderId="1" xfId="1" applyFont="1" applyBorder="1" applyAlignment="1">
      <alignment horizontal="center" vertical="center"/>
    </xf>
    <xf numFmtId="0" fontId="7" fillId="0" borderId="1" xfId="1" applyFont="1" applyBorder="1" applyAlignment="1" applyProtection="1">
      <alignment horizontal="center" vertical="center" wrapText="1"/>
      <protection locked="0"/>
    </xf>
    <xf numFmtId="3" fontId="7" fillId="0" borderId="1" xfId="1" applyNumberFormat="1" applyFont="1" applyBorder="1" applyAlignment="1">
      <alignment horizontal="right"/>
    </xf>
    <xf numFmtId="3" fontId="26" fillId="0" borderId="1" xfId="1" applyNumberFormat="1" applyFont="1" applyBorder="1" applyAlignment="1">
      <alignment vertical="center"/>
    </xf>
    <xf numFmtId="3" fontId="32" fillId="0" borderId="1" xfId="1" applyNumberFormat="1" applyFont="1" applyBorder="1" applyAlignment="1">
      <alignment horizontal="right" vertical="center"/>
    </xf>
    <xf numFmtId="3" fontId="32" fillId="0" borderId="0" xfId="1" applyNumberFormat="1" applyFont="1" applyAlignment="1">
      <alignment horizontal="right" vertical="center"/>
    </xf>
    <xf numFmtId="0" fontId="26" fillId="0" borderId="1" xfId="1" applyFont="1" applyBorder="1" applyAlignment="1">
      <alignment horizontal="left" vertical="center" wrapText="1"/>
    </xf>
    <xf numFmtId="3" fontId="22" fillId="0" borderId="1" xfId="1" applyNumberFormat="1" applyFont="1" applyBorder="1" applyAlignment="1">
      <alignment horizontal="center" vertical="center" wrapText="1"/>
    </xf>
    <xf numFmtId="0" fontId="7" fillId="0" borderId="0" xfId="1" applyFont="1" applyAlignment="1">
      <alignment horizontal="center" wrapText="1"/>
    </xf>
    <xf numFmtId="0" fontId="7" fillId="0" borderId="4" xfId="1" applyFont="1" applyBorder="1" applyAlignment="1">
      <alignment horizontal="center" vertical="center"/>
    </xf>
    <xf numFmtId="0" fontId="7" fillId="0" borderId="4" xfId="1" applyFont="1" applyBorder="1" applyAlignment="1">
      <alignment horizontal="center" vertical="center" wrapText="1"/>
    </xf>
    <xf numFmtId="3" fontId="7" fillId="0" borderId="1" xfId="1" applyNumberFormat="1" applyFont="1" applyBorder="1" applyAlignment="1">
      <alignment horizontal="center" vertical="center"/>
    </xf>
    <xf numFmtId="0" fontId="7" fillId="0" borderId="14" xfId="1" applyFont="1" applyBorder="1"/>
    <xf numFmtId="0" fontId="7" fillId="5" borderId="15" xfId="1" applyFont="1" applyFill="1" applyBorder="1" applyAlignment="1">
      <alignment horizontal="center"/>
    </xf>
    <xf numFmtId="0" fontId="7" fillId="5" borderId="16" xfId="1" applyFont="1" applyFill="1" applyBorder="1" applyAlignment="1">
      <alignment horizontal="center" wrapText="1"/>
    </xf>
    <xf numFmtId="0" fontId="7" fillId="0" borderId="17" xfId="1" applyFont="1" applyBorder="1" applyAlignment="1">
      <alignment horizontal="left" wrapText="1"/>
    </xf>
    <xf numFmtId="0" fontId="7" fillId="0" borderId="3" xfId="1" applyFont="1" applyBorder="1"/>
    <xf numFmtId="3" fontId="7" fillId="0" borderId="3" xfId="1" applyNumberFormat="1" applyFont="1" applyBorder="1"/>
    <xf numFmtId="3" fontId="7" fillId="0" borderId="18" xfId="1" applyNumberFormat="1" applyFont="1" applyBorder="1"/>
    <xf numFmtId="0" fontId="7" fillId="0" borderId="19" xfId="1" applyFont="1" applyBorder="1" applyAlignment="1">
      <alignment horizontal="left" wrapText="1"/>
    </xf>
    <xf numFmtId="3" fontId="7" fillId="0" borderId="20" xfId="1" applyNumberFormat="1" applyFont="1" applyBorder="1"/>
    <xf numFmtId="0" fontId="7" fillId="0" borderId="21" xfId="1" applyFont="1" applyBorder="1" applyAlignment="1">
      <alignment horizontal="left" wrapText="1"/>
    </xf>
    <xf numFmtId="0" fontId="7" fillId="0" borderId="22" xfId="1" applyFont="1" applyBorder="1"/>
    <xf numFmtId="3" fontId="7" fillId="0" borderId="22" xfId="1" applyNumberFormat="1" applyFont="1" applyBorder="1"/>
    <xf numFmtId="0" fontId="7" fillId="0" borderId="23" xfId="1" applyFont="1" applyBorder="1"/>
    <xf numFmtId="0" fontId="22" fillId="0" borderId="24" xfId="1" applyFont="1" applyBorder="1"/>
    <xf numFmtId="3" fontId="22" fillId="0" borderId="25" xfId="1" applyNumberFormat="1" applyFont="1" applyBorder="1"/>
    <xf numFmtId="3" fontId="22" fillId="0" borderId="26" xfId="1" applyNumberFormat="1" applyFont="1" applyBorder="1"/>
    <xf numFmtId="3" fontId="22" fillId="0" borderId="27" xfId="1" applyNumberFormat="1" applyFont="1" applyBorder="1"/>
    <xf numFmtId="0" fontId="7" fillId="0" borderId="1" xfId="1" applyFont="1" applyBorder="1" applyAlignment="1">
      <alignment horizontal="left" vertical="center"/>
    </xf>
    <xf numFmtId="0" fontId="7" fillId="0" borderId="1" xfId="1" applyFont="1" applyBorder="1" applyAlignment="1">
      <alignment vertical="center"/>
    </xf>
    <xf numFmtId="0" fontId="7" fillId="0" borderId="1" xfId="1" applyFont="1" applyBorder="1" applyAlignment="1">
      <alignment vertical="center" wrapText="1"/>
    </xf>
    <xf numFmtId="0" fontId="0" fillId="0" borderId="0" xfId="0" applyAlignment="1">
      <alignment vertical="center"/>
    </xf>
    <xf numFmtId="0" fontId="7" fillId="0" borderId="0" xfId="1" applyFont="1" applyAlignment="1">
      <alignment horizontal="center" vertical="center" wrapText="1"/>
    </xf>
    <xf numFmtId="49" fontId="7" fillId="0" borderId="1" xfId="2" applyNumberFormat="1" applyFont="1" applyBorder="1" applyAlignment="1">
      <alignment horizontal="center" vertical="center" wrapText="1"/>
    </xf>
    <xf numFmtId="0" fontId="7" fillId="0" borderId="1" xfId="3" applyFont="1" applyBorder="1" applyAlignment="1">
      <alignment horizontal="center" vertical="center" wrapText="1"/>
    </xf>
    <xf numFmtId="0" fontId="22" fillId="0" borderId="1" xfId="3" applyFont="1" applyBorder="1" applyAlignment="1">
      <alignment horizontal="center" vertical="center" wrapText="1"/>
    </xf>
    <xf numFmtId="0" fontId="7" fillId="0" borderId="0" xfId="4" applyFont="1"/>
    <xf numFmtId="0" fontId="26" fillId="0" borderId="0" xfId="4" applyFont="1" applyAlignment="1">
      <alignment vertical="top" wrapText="1"/>
    </xf>
    <xf numFmtId="0" fontId="20" fillId="0" borderId="0" xfId="0" applyFont="1"/>
    <xf numFmtId="0" fontId="26" fillId="0" borderId="0" xfId="1" applyFont="1" applyAlignment="1">
      <alignment wrapText="1"/>
    </xf>
    <xf numFmtId="0" fontId="26" fillId="0" borderId="0" xfId="1" applyFont="1"/>
    <xf numFmtId="0" fontId="26" fillId="0" borderId="0" xfId="1" applyFont="1" applyAlignment="1">
      <alignment vertical="center" wrapText="1"/>
    </xf>
    <xf numFmtId="3" fontId="25" fillId="0" borderId="1" xfId="1" applyNumberFormat="1" applyFont="1" applyBorder="1"/>
    <xf numFmtId="0" fontId="25" fillId="0" borderId="1" xfId="1" applyFont="1" applyBorder="1"/>
    <xf numFmtId="0" fontId="7" fillId="0" borderId="0" xfId="5" applyFont="1"/>
    <xf numFmtId="165" fontId="7" fillId="0" borderId="0" xfId="5" applyNumberFormat="1" applyFont="1"/>
    <xf numFmtId="0" fontId="5" fillId="6" borderId="8" xfId="6" applyFont="1" applyFill="1" applyBorder="1" applyAlignment="1">
      <alignment horizontal="center" wrapText="1"/>
    </xf>
    <xf numFmtId="3" fontId="36" fillId="6" borderId="9" xfId="6" applyNumberFormat="1" applyFont="1" applyFill="1" applyBorder="1" applyAlignment="1">
      <alignment horizontal="center" wrapText="1"/>
    </xf>
    <xf numFmtId="0" fontId="5" fillId="6" borderId="10" xfId="6" applyFont="1" applyFill="1" applyBorder="1" applyAlignment="1">
      <alignment horizontal="left" wrapText="1"/>
    </xf>
    <xf numFmtId="0" fontId="23" fillId="0" borderId="1" xfId="6" applyFont="1" applyBorder="1"/>
    <xf numFmtId="0" fontId="27" fillId="7" borderId="1" xfId="6" applyFont="1" applyFill="1" applyBorder="1"/>
    <xf numFmtId="3" fontId="27" fillId="7" borderId="1" xfId="6" applyNumberFormat="1" applyFont="1" applyFill="1" applyBorder="1" applyAlignment="1">
      <alignment vertical="center"/>
    </xf>
    <xf numFmtId="0" fontId="23" fillId="7" borderId="1" xfId="6" applyFont="1" applyFill="1" applyBorder="1"/>
    <xf numFmtId="3" fontId="7" fillId="0" borderId="0" xfId="5" applyNumberFormat="1" applyFont="1"/>
    <xf numFmtId="0" fontId="23" fillId="7" borderId="1" xfId="6" applyFont="1" applyFill="1" applyBorder="1" applyAlignment="1">
      <alignment horizontal="justify" vertical="top" wrapText="1"/>
    </xf>
    <xf numFmtId="0" fontId="27" fillId="5" borderId="1" xfId="6" applyFont="1" applyFill="1" applyBorder="1" applyAlignment="1">
      <alignment horizontal="right"/>
    </xf>
    <xf numFmtId="0" fontId="27" fillId="5" borderId="1" xfId="6" applyFont="1" applyFill="1" applyBorder="1"/>
    <xf numFmtId="0" fontId="31" fillId="5" borderId="1" xfId="6" applyFont="1" applyFill="1" applyBorder="1" applyAlignment="1">
      <alignment horizontal="center" wrapText="1"/>
    </xf>
    <xf numFmtId="4" fontId="23" fillId="5" borderId="1" xfId="6" applyNumberFormat="1" applyFont="1" applyFill="1" applyBorder="1" applyAlignment="1">
      <alignment vertical="center"/>
    </xf>
    <xf numFmtId="0" fontId="23" fillId="5" borderId="1" xfId="6" applyFont="1" applyFill="1" applyBorder="1" applyAlignment="1">
      <alignment horizontal="left" vertical="center" wrapText="1"/>
    </xf>
    <xf numFmtId="0" fontId="23" fillId="5" borderId="1" xfId="6" applyFont="1" applyFill="1" applyBorder="1" applyAlignment="1">
      <alignment horizontal="right"/>
    </xf>
    <xf numFmtId="0" fontId="31" fillId="5" borderId="1" xfId="6" applyFont="1" applyFill="1" applyBorder="1" applyAlignment="1">
      <alignment wrapText="1"/>
    </xf>
    <xf numFmtId="4" fontId="31" fillId="5" borderId="1" xfId="6" applyNumberFormat="1" applyFont="1" applyFill="1" applyBorder="1" applyAlignment="1">
      <alignment vertical="center"/>
    </xf>
    <xf numFmtId="0" fontId="37" fillId="5" borderId="1" xfId="6" applyFont="1" applyFill="1" applyBorder="1" applyAlignment="1">
      <alignment wrapText="1"/>
    </xf>
    <xf numFmtId="4" fontId="37" fillId="5" borderId="1" xfId="6" applyNumberFormat="1" applyFont="1" applyFill="1" applyBorder="1" applyAlignment="1">
      <alignment vertical="center"/>
    </xf>
    <xf numFmtId="4" fontId="31" fillId="0" borderId="1" xfId="6" applyNumberFormat="1" applyFont="1" applyBorder="1" applyAlignment="1">
      <alignment vertical="center"/>
    </xf>
    <xf numFmtId="0" fontId="27" fillId="5" borderId="1" xfId="6" applyFont="1" applyFill="1" applyBorder="1" applyAlignment="1">
      <alignment wrapText="1"/>
    </xf>
    <xf numFmtId="3" fontId="23" fillId="5" borderId="1" xfId="6" applyNumberFormat="1" applyFont="1" applyFill="1" applyBorder="1" applyAlignment="1">
      <alignment vertical="center"/>
    </xf>
    <xf numFmtId="0" fontId="23" fillId="5" borderId="1" xfId="6" applyFont="1" applyFill="1" applyBorder="1" applyAlignment="1">
      <alignment wrapText="1"/>
    </xf>
    <xf numFmtId="0" fontId="27" fillId="0" borderId="1" xfId="6" applyFont="1" applyBorder="1"/>
    <xf numFmtId="0" fontId="23" fillId="0" borderId="1" xfId="6" applyFont="1" applyBorder="1" applyAlignment="1">
      <alignment horizontal="left" vertical="center"/>
    </xf>
    <xf numFmtId="0" fontId="31" fillId="0" borderId="1" xfId="6" applyFont="1" applyBorder="1" applyAlignment="1">
      <alignment vertical="center" wrapText="1"/>
    </xf>
    <xf numFmtId="0" fontId="23" fillId="0" borderId="1" xfId="6" applyFont="1" applyBorder="1" applyAlignment="1">
      <alignment vertical="center" wrapText="1"/>
    </xf>
    <xf numFmtId="0" fontId="23" fillId="0" borderId="1" xfId="6" applyFont="1" applyBorder="1" applyAlignment="1">
      <alignment vertical="center"/>
    </xf>
    <xf numFmtId="0" fontId="31" fillId="0" borderId="1" xfId="6" applyFont="1" applyBorder="1" applyAlignment="1">
      <alignment wrapText="1"/>
    </xf>
    <xf numFmtId="0" fontId="37" fillId="0" borderId="1" xfId="6" applyFont="1" applyBorder="1" applyAlignment="1">
      <alignment wrapText="1"/>
    </xf>
    <xf numFmtId="0" fontId="31" fillId="0" borderId="1" xfId="6" applyFont="1" applyBorder="1"/>
    <xf numFmtId="0" fontId="26" fillId="0" borderId="0" xfId="5" applyFont="1"/>
    <xf numFmtId="0" fontId="7" fillId="0" borderId="0" xfId="5" applyFont="1" applyFill="1" applyBorder="1"/>
    <xf numFmtId="3" fontId="23" fillId="0" borderId="0" xfId="6" applyNumberFormat="1" applyFont="1" applyFill="1" applyBorder="1" applyAlignment="1">
      <alignment vertical="center"/>
    </xf>
    <xf numFmtId="2" fontId="7" fillId="0" borderId="0" xfId="5" applyNumberFormat="1" applyFont="1" applyFill="1" applyBorder="1"/>
    <xf numFmtId="0" fontId="26" fillId="0" borderId="0" xfId="5" applyFont="1" applyFill="1" applyBorder="1"/>
    <xf numFmtId="0" fontId="0" fillId="0" borderId="0" xfId="0" applyFill="1" applyBorder="1"/>
    <xf numFmtId="0" fontId="1" fillId="0" borderId="0" xfId="0" applyFont="1"/>
    <xf numFmtId="0" fontId="38" fillId="0" borderId="0" xfId="0" applyFont="1" applyAlignment="1">
      <alignment horizontal="center" wrapText="1"/>
    </xf>
    <xf numFmtId="0" fontId="8" fillId="5" borderId="15" xfId="1" applyFont="1" applyFill="1" applyBorder="1" applyAlignment="1">
      <alignment horizontal="center"/>
    </xf>
    <xf numFmtId="0" fontId="40" fillId="0" borderId="0" xfId="0" applyFont="1"/>
    <xf numFmtId="0" fontId="7" fillId="0" borderId="1" xfId="0" applyFont="1" applyBorder="1" applyAlignment="1">
      <alignment horizontal="center"/>
    </xf>
    <xf numFmtId="0" fontId="7" fillId="0" borderId="1" xfId="0" applyFont="1" applyFill="1" applyBorder="1" applyAlignment="1">
      <alignment horizontal="center"/>
    </xf>
    <xf numFmtId="3" fontId="8" fillId="0" borderId="0" xfId="0" applyNumberFormat="1" applyFont="1"/>
    <xf numFmtId="0" fontId="6" fillId="0" borderId="0" xfId="0" applyFont="1" applyAlignment="1">
      <alignment horizontal="center"/>
    </xf>
    <xf numFmtId="0" fontId="0" fillId="0" borderId="1" xfId="0" applyBorder="1" applyAlignment="1">
      <alignment horizontal="center" vertical="center"/>
    </xf>
    <xf numFmtId="0" fontId="1" fillId="0" borderId="0" xfId="0" applyFont="1" applyAlignment="1">
      <alignment horizontal="right" vertical="top" wrapText="1"/>
    </xf>
    <xf numFmtId="0" fontId="0" fillId="0" borderId="1" xfId="0" applyBorder="1" applyAlignment="1">
      <alignment horizontal="center"/>
    </xf>
    <xf numFmtId="0" fontId="0" fillId="0" borderId="1" xfId="0" applyBorder="1" applyAlignment="1">
      <alignment horizontal="center" wrapText="1"/>
    </xf>
    <xf numFmtId="0" fontId="0" fillId="2" borderId="1" xfId="0" applyFill="1" applyBorder="1" applyAlignment="1">
      <alignment horizontal="center" wrapText="1"/>
    </xf>
    <xf numFmtId="0" fontId="1" fillId="0" borderId="0" xfId="0" applyFont="1" applyAlignment="1">
      <alignment horizontal="left" wrapText="1"/>
    </xf>
    <xf numFmtId="0" fontId="42" fillId="0" borderId="0" xfId="0" applyFont="1" applyAlignment="1">
      <alignment horizontal="left" wrapText="1"/>
    </xf>
    <xf numFmtId="0" fontId="7" fillId="0" borderId="0" xfId="0" applyFont="1" applyAlignment="1">
      <alignment horizontal="left" vertical="top"/>
    </xf>
    <xf numFmtId="0" fontId="11" fillId="0" borderId="1" xfId="0" applyFont="1" applyBorder="1" applyAlignment="1">
      <alignment horizontal="left"/>
    </xf>
    <xf numFmtId="0" fontId="9" fillId="0" borderId="0" xfId="0" applyFont="1" applyAlignment="1">
      <alignment horizontal="left" vertical="top" wrapText="1"/>
    </xf>
    <xf numFmtId="0" fontId="11" fillId="0" borderId="1" xfId="0" applyFont="1" applyBorder="1" applyAlignment="1">
      <alignment horizontal="center"/>
    </xf>
    <xf numFmtId="0" fontId="19" fillId="3" borderId="1" xfId="1" applyFont="1" applyFill="1" applyBorder="1" applyAlignment="1">
      <alignment horizontal="center"/>
    </xf>
    <xf numFmtId="0" fontId="19" fillId="0" borderId="1" xfId="1" applyFont="1" applyBorder="1" applyAlignment="1">
      <alignment horizontal="center" vertical="center" wrapText="1"/>
    </xf>
    <xf numFmtId="0" fontId="19" fillId="0" borderId="4" xfId="1" applyFont="1" applyBorder="1" applyAlignment="1">
      <alignment horizontal="center" vertical="center" wrapText="1"/>
    </xf>
    <xf numFmtId="0" fontId="19" fillId="0" borderId="1" xfId="1" applyFont="1" applyBorder="1" applyAlignment="1">
      <alignment horizontal="center" wrapText="1"/>
    </xf>
    <xf numFmtId="0" fontId="35" fillId="0" borderId="1" xfId="1" applyFont="1" applyBorder="1" applyAlignment="1">
      <alignment horizontal="center" vertical="center" wrapText="1"/>
    </xf>
    <xf numFmtId="0" fontId="3" fillId="0" borderId="5" xfId="1" applyFont="1" applyBorder="1" applyAlignment="1">
      <alignment horizontal="center"/>
    </xf>
    <xf numFmtId="0" fontId="3" fillId="0" borderId="6" xfId="1" applyFont="1" applyBorder="1" applyAlignment="1">
      <alignment horizontal="center"/>
    </xf>
    <xf numFmtId="3" fontId="19" fillId="0" borderId="1" xfId="1" applyNumberFormat="1" applyFont="1" applyBorder="1" applyAlignment="1">
      <alignment horizontal="center" vertical="center" wrapText="1"/>
    </xf>
    <xf numFmtId="0" fontId="3" fillId="0" borderId="1" xfId="1" applyFont="1" applyBorder="1" applyAlignment="1">
      <alignment horizontal="center"/>
    </xf>
    <xf numFmtId="3" fontId="3" fillId="0" borderId="1" xfId="1" applyNumberFormat="1" applyFont="1" applyBorder="1" applyAlignment="1">
      <alignment horizontal="center"/>
    </xf>
    <xf numFmtId="3" fontId="25" fillId="0" borderId="1" xfId="1" applyNumberFormat="1" applyFont="1" applyBorder="1"/>
    <xf numFmtId="0" fontId="25" fillId="0" borderId="1" xfId="1" applyFont="1" applyBorder="1"/>
    <xf numFmtId="3" fontId="23" fillId="0" borderId="1" xfId="1" applyNumberFormat="1" applyFont="1" applyBorder="1"/>
    <xf numFmtId="0" fontId="26" fillId="0" borderId="8" xfId="1" applyFont="1" applyBorder="1" applyAlignment="1">
      <alignment horizontal="left" vertical="center" wrapText="1"/>
    </xf>
    <xf numFmtId="0" fontId="26" fillId="0" borderId="9" xfId="1" applyFont="1" applyBorder="1" applyAlignment="1">
      <alignment horizontal="left" vertical="center" wrapText="1"/>
    </xf>
    <xf numFmtId="0" fontId="26" fillId="0" borderId="10" xfId="1" applyFont="1" applyBorder="1" applyAlignment="1">
      <alignment horizontal="left" vertical="center" wrapText="1"/>
    </xf>
    <xf numFmtId="0" fontId="22" fillId="0" borderId="0" xfId="1" applyFont="1" applyAlignment="1">
      <alignment horizontal="center"/>
    </xf>
    <xf numFmtId="0" fontId="26" fillId="0" borderId="0" xfId="1" applyFont="1" applyAlignment="1">
      <alignment horizontal="left" vertical="center" wrapText="1"/>
    </xf>
    <xf numFmtId="0" fontId="7" fillId="0" borderId="0" xfId="1" applyFont="1" applyAlignment="1">
      <alignment horizontal="left" vertical="center" wrapText="1"/>
    </xf>
    <xf numFmtId="0" fontId="26" fillId="0" borderId="0" xfId="4" applyFont="1" applyAlignment="1">
      <alignment horizontal="left" vertical="top" wrapText="1"/>
    </xf>
    <xf numFmtId="0" fontId="26" fillId="0" borderId="8" xfId="1" applyFont="1" applyBorder="1" applyAlignment="1">
      <alignment horizontal="right" vertical="center" wrapText="1"/>
    </xf>
    <xf numFmtId="0" fontId="26" fillId="0" borderId="9" xfId="1" applyFont="1" applyBorder="1" applyAlignment="1">
      <alignment horizontal="right" vertical="center" wrapText="1"/>
    </xf>
    <xf numFmtId="0" fontId="26" fillId="0" borderId="10" xfId="1" applyFont="1" applyBorder="1" applyAlignment="1">
      <alignment horizontal="right" vertical="center" wrapText="1"/>
    </xf>
    <xf numFmtId="0" fontId="26" fillId="0" borderId="0" xfId="1" applyFont="1" applyAlignment="1">
      <alignment horizontal="left" wrapText="1"/>
    </xf>
    <xf numFmtId="0" fontId="7" fillId="0" borderId="1" xfId="1" applyFont="1" applyBorder="1" applyAlignment="1">
      <alignment horizontal="left" wrapText="1"/>
    </xf>
    <xf numFmtId="0" fontId="22" fillId="0" borderId="0" xfId="1" applyFont="1" applyAlignment="1">
      <alignment horizontal="center" vertical="center" wrapText="1"/>
    </xf>
    <xf numFmtId="0" fontId="7" fillId="0" borderId="11" xfId="1" applyFont="1" applyBorder="1" applyAlignment="1">
      <alignment horizontal="left" wrapText="1"/>
    </xf>
    <xf numFmtId="0" fontId="7" fillId="0" borderId="8" xfId="1" applyFont="1" applyBorder="1" applyAlignment="1">
      <alignment horizontal="left" wrapText="1"/>
    </xf>
    <xf numFmtId="0" fontId="7" fillId="0" borderId="9" xfId="1" applyFont="1" applyBorder="1" applyAlignment="1">
      <alignment horizontal="left" wrapText="1"/>
    </xf>
    <xf numFmtId="0" fontId="7" fillId="0" borderId="10" xfId="1" applyFont="1" applyBorder="1" applyAlignment="1">
      <alignment horizontal="left" wrapText="1"/>
    </xf>
    <xf numFmtId="0" fontId="26" fillId="0" borderId="8" xfId="1" applyFont="1" applyBorder="1" applyAlignment="1">
      <alignment horizontal="left" vertical="center"/>
    </xf>
    <xf numFmtId="0" fontId="26" fillId="0" borderId="9" xfId="1" applyFont="1" applyBorder="1" applyAlignment="1">
      <alignment horizontal="left" vertical="center"/>
    </xf>
    <xf numFmtId="0" fontId="26" fillId="0" borderId="10" xfId="1" applyFont="1" applyBorder="1" applyAlignment="1">
      <alignment horizontal="left" vertical="center"/>
    </xf>
    <xf numFmtId="0" fontId="22" fillId="0" borderId="1" xfId="1" applyFont="1" applyBorder="1" applyAlignment="1">
      <alignment horizontal="right" wrapText="1"/>
    </xf>
    <xf numFmtId="0" fontId="8" fillId="0" borderId="0" xfId="0" applyFont="1" applyBorder="1" applyAlignment="1">
      <alignment horizontal="left" wrapText="1"/>
    </xf>
    <xf numFmtId="0" fontId="22" fillId="0" borderId="13" xfId="1" applyFont="1" applyBorder="1" applyAlignment="1">
      <alignment horizontal="left" wrapText="1"/>
    </xf>
    <xf numFmtId="0" fontId="22" fillId="0" borderId="11" xfId="1" applyFont="1" applyBorder="1" applyAlignment="1">
      <alignment horizontal="center" wrapText="1"/>
    </xf>
    <xf numFmtId="0" fontId="31" fillId="0" borderId="12" xfId="1" applyFont="1" applyBorder="1" applyAlignment="1">
      <alignment horizontal="left" wrapText="1"/>
    </xf>
    <xf numFmtId="0" fontId="22" fillId="0" borderId="0" xfId="1" applyFont="1" applyAlignment="1">
      <alignment horizontal="center" wrapText="1"/>
    </xf>
    <xf numFmtId="0" fontId="34" fillId="0" borderId="0" xfId="1" applyFont="1" applyAlignment="1">
      <alignment horizontal="left" wrapText="1"/>
    </xf>
    <xf numFmtId="0" fontId="5" fillId="6" borderId="8" xfId="6" applyFont="1" applyFill="1" applyBorder="1" applyAlignment="1">
      <alignment horizontal="center" wrapText="1"/>
    </xf>
    <xf numFmtId="0" fontId="5" fillId="6" borderId="9" xfId="6" applyFont="1" applyFill="1" applyBorder="1" applyAlignment="1">
      <alignment horizontal="center" wrapText="1"/>
    </xf>
    <xf numFmtId="0" fontId="5" fillId="6" borderId="10" xfId="6" applyFont="1" applyFill="1" applyBorder="1" applyAlignment="1">
      <alignment horizontal="center" wrapText="1"/>
    </xf>
    <xf numFmtId="0" fontId="36" fillId="6" borderId="9" xfId="6" applyFont="1" applyFill="1" applyBorder="1" applyAlignment="1">
      <alignment horizontal="right" wrapText="1"/>
    </xf>
    <xf numFmtId="0" fontId="8" fillId="0" borderId="0" xfId="5" applyFont="1" applyAlignment="1">
      <alignment horizontal="left" wrapText="1"/>
    </xf>
  </cellXfs>
  <cellStyles count="7">
    <cellStyle name="Normal 2 2 3" xfId="2" xr:uid="{029608A0-86BE-4BD9-BDCE-DD85BF2EBE54}"/>
    <cellStyle name="Normal 2 3" xfId="3" xr:uid="{514F1B18-F0D9-407A-8C3A-031AB2085FCD}"/>
    <cellStyle name="Normal 3" xfId="4" xr:uid="{C5A479E9-01A9-4534-AAAF-D219916492AE}"/>
    <cellStyle name="Normal 4" xfId="6" xr:uid="{707778C3-A143-49CD-A55E-FA2396068170}"/>
    <cellStyle name="Parasts" xfId="0" builtinId="0"/>
    <cellStyle name="Parasts 2" xfId="1" xr:uid="{2A3DFBD9-274C-4E20-991C-FD18D446CBA4}"/>
    <cellStyle name="Parasts 3" xfId="5" xr:uid="{C7A82F6E-FD9E-4F7C-8788-9304A36872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0"/>
  <sheetViews>
    <sheetView topLeftCell="A17" zoomScaleNormal="100" workbookViewId="0">
      <selection activeCell="A26" sqref="A26:J26"/>
    </sheetView>
  </sheetViews>
  <sheetFormatPr defaultRowHeight="14.5" x14ac:dyDescent="0.35"/>
  <cols>
    <col min="2" max="2" width="24.36328125" customWidth="1"/>
    <col min="3" max="5" width="8.81640625" bestFit="1" customWidth="1"/>
    <col min="6" max="6" width="9.36328125" bestFit="1" customWidth="1"/>
  </cols>
  <sheetData>
    <row r="1" spans="1:13" ht="14.5" customHeight="1" x14ac:dyDescent="0.35">
      <c r="A1" s="211" t="s">
        <v>0</v>
      </c>
      <c r="B1" s="211"/>
      <c r="C1" s="211"/>
      <c r="D1" s="211"/>
      <c r="E1" s="211"/>
      <c r="F1" s="211"/>
      <c r="G1" s="211"/>
      <c r="H1" s="211"/>
      <c r="I1" s="211"/>
      <c r="J1" s="211"/>
    </row>
    <row r="2" spans="1:13" x14ac:dyDescent="0.35">
      <c r="A2" s="211"/>
      <c r="B2" s="211"/>
      <c r="C2" s="211"/>
      <c r="D2" s="211"/>
      <c r="E2" s="211"/>
      <c r="F2" s="211"/>
      <c r="G2" s="211"/>
      <c r="H2" s="211"/>
      <c r="I2" s="211"/>
      <c r="J2" s="211"/>
    </row>
    <row r="3" spans="1:13" x14ac:dyDescent="0.35">
      <c r="A3" s="215" t="s">
        <v>1</v>
      </c>
      <c r="B3" s="215"/>
      <c r="C3" s="215"/>
      <c r="D3" s="215"/>
      <c r="E3" s="215"/>
      <c r="F3" s="215"/>
      <c r="G3" s="215"/>
      <c r="H3" s="215"/>
      <c r="I3" s="215"/>
      <c r="J3" s="215"/>
    </row>
    <row r="4" spans="1:13" ht="15.5" x14ac:dyDescent="0.35">
      <c r="A4" s="215"/>
      <c r="B4" s="215"/>
      <c r="C4" s="215"/>
      <c r="D4" s="215"/>
      <c r="E4" s="215"/>
      <c r="F4" s="215"/>
      <c r="G4" s="215"/>
      <c r="H4" s="215"/>
      <c r="I4" s="215"/>
      <c r="J4" s="215"/>
      <c r="K4" s="43"/>
      <c r="L4" s="43"/>
      <c r="M4" s="43"/>
    </row>
    <row r="5" spans="1:13" x14ac:dyDescent="0.35">
      <c r="A5" s="202" t="s">
        <v>63</v>
      </c>
      <c r="B5" s="202"/>
      <c r="C5" s="202"/>
      <c r="D5" s="202"/>
      <c r="E5" s="202"/>
      <c r="F5" s="202"/>
      <c r="G5" s="202"/>
      <c r="H5" s="202"/>
      <c r="I5" s="202"/>
      <c r="J5" s="202"/>
    </row>
    <row r="7" spans="1:13" ht="36" customHeight="1" x14ac:dyDescent="0.35">
      <c r="A7" s="212" t="s">
        <v>55</v>
      </c>
      <c r="B7" s="212"/>
      <c r="C7" s="213" t="s">
        <v>61</v>
      </c>
      <c r="D7" s="213"/>
      <c r="E7" s="213"/>
      <c r="F7" s="214" t="s">
        <v>54</v>
      </c>
      <c r="G7" s="214"/>
      <c r="H7" s="214"/>
    </row>
    <row r="8" spans="1:13" x14ac:dyDescent="0.35">
      <c r="A8" s="40" t="s">
        <v>57</v>
      </c>
      <c r="B8" s="40" t="s">
        <v>56</v>
      </c>
      <c r="C8" s="40" t="s">
        <v>58</v>
      </c>
      <c r="D8" s="40" t="s">
        <v>59</v>
      </c>
      <c r="E8" s="40" t="s">
        <v>60</v>
      </c>
      <c r="F8" s="41" t="s">
        <v>58</v>
      </c>
      <c r="G8" s="41" t="s">
        <v>59</v>
      </c>
      <c r="H8" s="41" t="s">
        <v>60</v>
      </c>
    </row>
    <row r="9" spans="1:13" x14ac:dyDescent="0.35">
      <c r="A9" s="40">
        <v>96115</v>
      </c>
      <c r="B9" s="40">
        <v>96115</v>
      </c>
      <c r="C9" s="40">
        <f>ROUND(B9*1.05,0)</f>
        <v>100921</v>
      </c>
      <c r="D9" s="40">
        <f>ROUND(C9*1.05,0)</f>
        <v>105967</v>
      </c>
      <c r="E9" s="40">
        <f>ROUND(D9*1.05,0)</f>
        <v>111265</v>
      </c>
      <c r="F9" s="41">
        <f>C9-B9</f>
        <v>4806</v>
      </c>
      <c r="G9" s="41">
        <f t="shared" ref="G9:H9" si="0">D9-C9</f>
        <v>5046</v>
      </c>
      <c r="H9" s="41">
        <f t="shared" si="0"/>
        <v>5298</v>
      </c>
    </row>
    <row r="10" spans="1:13" ht="110.5" customHeight="1" x14ac:dyDescent="0.35">
      <c r="A10" s="216" t="s">
        <v>251</v>
      </c>
      <c r="B10" s="216"/>
      <c r="C10" s="216"/>
      <c r="D10" s="216"/>
      <c r="E10" s="216"/>
      <c r="F10" s="216"/>
      <c r="G10" s="216"/>
      <c r="H10" s="216"/>
      <c r="I10" s="216"/>
      <c r="J10" s="216"/>
      <c r="K10" s="216"/>
      <c r="L10" s="216"/>
    </row>
    <row r="13" spans="1:13" x14ac:dyDescent="0.35">
      <c r="A13" t="s">
        <v>62</v>
      </c>
    </row>
    <row r="15" spans="1:13" x14ac:dyDescent="0.35">
      <c r="B15" s="34" t="s">
        <v>74</v>
      </c>
      <c r="C15" s="34">
        <f>50*75*4*2</f>
        <v>30000</v>
      </c>
    </row>
    <row r="16" spans="1:13" x14ac:dyDescent="0.35">
      <c r="B16" s="34" t="s">
        <v>64</v>
      </c>
      <c r="C16" s="34">
        <f xml:space="preserve"> 100*50</f>
        <v>5000</v>
      </c>
      <c r="H16" s="35" t="s">
        <v>56</v>
      </c>
      <c r="I16" s="44">
        <f>C20</f>
        <v>52030</v>
      </c>
    </row>
    <row r="17" spans="1:10" x14ac:dyDescent="0.35">
      <c r="B17" s="34" t="s">
        <v>65</v>
      </c>
      <c r="C17" s="34">
        <f>5*1600</f>
        <v>8000</v>
      </c>
      <c r="H17" s="35" t="s">
        <v>58</v>
      </c>
      <c r="I17" s="35">
        <f>ROUND(I16*1.05,0)</f>
        <v>54632</v>
      </c>
    </row>
    <row r="18" spans="1:10" x14ac:dyDescent="0.35">
      <c r="B18" s="34" t="s">
        <v>66</v>
      </c>
      <c r="C18" s="34">
        <f>SUM(C15:C17)</f>
        <v>43000</v>
      </c>
      <c r="H18" s="35" t="s">
        <v>59</v>
      </c>
      <c r="I18" s="35">
        <f>ROUND(I17*1.05,0)</f>
        <v>57364</v>
      </c>
    </row>
    <row r="19" spans="1:10" x14ac:dyDescent="0.35">
      <c r="B19" s="34" t="s">
        <v>73</v>
      </c>
      <c r="C19" s="34">
        <f>C18*21%</f>
        <v>9030</v>
      </c>
      <c r="H19" s="35" t="s">
        <v>60</v>
      </c>
      <c r="I19" s="35">
        <f>ROUND(I18*1.05,0)</f>
        <v>60232</v>
      </c>
    </row>
    <row r="20" spans="1:10" x14ac:dyDescent="0.35">
      <c r="B20" s="37" t="s">
        <v>67</v>
      </c>
      <c r="C20" s="35">
        <f>SUM(C18:C19)</f>
        <v>52030</v>
      </c>
      <c r="H20" s="36"/>
    </row>
    <row r="23" spans="1:10" x14ac:dyDescent="0.35">
      <c r="B23" t="s">
        <v>83</v>
      </c>
      <c r="C23" s="38"/>
    </row>
    <row r="24" spans="1:10" x14ac:dyDescent="0.35">
      <c r="B24" t="s">
        <v>75</v>
      </c>
      <c r="C24" s="39"/>
    </row>
    <row r="25" spans="1:10" x14ac:dyDescent="0.35">
      <c r="B25" t="s">
        <v>76</v>
      </c>
      <c r="C25" s="39"/>
    </row>
    <row r="26" spans="1:10" ht="137" customHeight="1" x14ac:dyDescent="0.35">
      <c r="A26" s="216" t="s">
        <v>251</v>
      </c>
      <c r="B26" s="216"/>
      <c r="C26" s="216"/>
      <c r="D26" s="216"/>
      <c r="E26" s="216"/>
      <c r="F26" s="216"/>
      <c r="G26" s="216"/>
      <c r="H26" s="216"/>
      <c r="I26" s="216"/>
      <c r="J26" s="216"/>
    </row>
    <row r="27" spans="1:10" x14ac:dyDescent="0.35">
      <c r="C27" s="39"/>
    </row>
    <row r="29" spans="1:10" x14ac:dyDescent="0.35">
      <c r="A29" t="s">
        <v>68</v>
      </c>
    </row>
    <row r="30" spans="1:10" x14ac:dyDescent="0.35">
      <c r="B30" s="34" t="s">
        <v>70</v>
      </c>
      <c r="C30" s="34">
        <f>45*75*6</f>
        <v>20250</v>
      </c>
    </row>
    <row r="31" spans="1:10" x14ac:dyDescent="0.35">
      <c r="B31" s="34" t="s">
        <v>64</v>
      </c>
      <c r="C31" s="34">
        <f>10*10*45</f>
        <v>4500</v>
      </c>
    </row>
    <row r="32" spans="1:10" x14ac:dyDescent="0.35">
      <c r="B32" s="34" t="s">
        <v>65</v>
      </c>
      <c r="C32" s="34">
        <f>6*495</f>
        <v>2970</v>
      </c>
    </row>
    <row r="33" spans="1:12" x14ac:dyDescent="0.35">
      <c r="B33" s="34" t="s">
        <v>71</v>
      </c>
      <c r="C33" s="34">
        <f>SUM(C30:C32)</f>
        <v>27720</v>
      </c>
      <c r="K33" s="35" t="s">
        <v>56</v>
      </c>
      <c r="L33" s="44">
        <f>C35</f>
        <v>33541.199999999997</v>
      </c>
    </row>
    <row r="34" spans="1:12" x14ac:dyDescent="0.35">
      <c r="B34" s="34" t="s">
        <v>8</v>
      </c>
      <c r="C34" s="45">
        <f>C33*21%</f>
        <v>5821.2</v>
      </c>
      <c r="K34" s="35" t="s">
        <v>58</v>
      </c>
      <c r="L34" s="35">
        <f>ROUND(L33*1.05,0)</f>
        <v>35218</v>
      </c>
    </row>
    <row r="35" spans="1:12" x14ac:dyDescent="0.35">
      <c r="B35" s="37" t="s">
        <v>69</v>
      </c>
      <c r="C35" s="35">
        <f>SUM(C33:C34)</f>
        <v>33541.199999999997</v>
      </c>
      <c r="K35" s="35" t="s">
        <v>59</v>
      </c>
      <c r="L35" s="35">
        <f>ROUND(L34*1.05,0)</f>
        <v>36979</v>
      </c>
    </row>
    <row r="36" spans="1:12" x14ac:dyDescent="0.35">
      <c r="K36" s="35" t="s">
        <v>60</v>
      </c>
      <c r="L36" s="35">
        <f>ROUND(L35*1.05,0)</f>
        <v>38828</v>
      </c>
    </row>
    <row r="37" spans="1:12" x14ac:dyDescent="0.35">
      <c r="K37" s="36"/>
    </row>
    <row r="38" spans="1:12" x14ac:dyDescent="0.35">
      <c r="B38" t="s">
        <v>84</v>
      </c>
      <c r="C38" s="38"/>
    </row>
    <row r="39" spans="1:12" x14ac:dyDescent="0.35">
      <c r="B39" t="s">
        <v>85</v>
      </c>
      <c r="C39" s="39"/>
    </row>
    <row r="40" spans="1:12" x14ac:dyDescent="0.35">
      <c r="B40" t="s">
        <v>72</v>
      </c>
      <c r="C40" s="39"/>
    </row>
    <row r="42" spans="1:12" ht="135.5" customHeight="1" x14ac:dyDescent="0.35">
      <c r="A42" s="216" t="s">
        <v>251</v>
      </c>
      <c r="B42" s="216"/>
      <c r="C42" s="216"/>
      <c r="D42" s="216"/>
      <c r="E42" s="216"/>
      <c r="F42" s="216"/>
      <c r="G42" s="216"/>
      <c r="H42" s="216"/>
      <c r="I42" s="216"/>
      <c r="J42" s="216"/>
    </row>
    <row r="44" spans="1:12" x14ac:dyDescent="0.35">
      <c r="B44" s="209" t="s">
        <v>77</v>
      </c>
      <c r="C44" s="209"/>
      <c r="D44" s="209"/>
      <c r="E44" s="209"/>
      <c r="F44" s="209"/>
    </row>
    <row r="45" spans="1:12" x14ac:dyDescent="0.35">
      <c r="B45" s="210" t="s">
        <v>78</v>
      </c>
      <c r="C45" s="34" t="s">
        <v>54</v>
      </c>
      <c r="D45" s="34"/>
      <c r="E45" s="34"/>
      <c r="F45" s="34"/>
    </row>
    <row r="46" spans="1:12" x14ac:dyDescent="0.35">
      <c r="B46" s="210"/>
      <c r="C46" s="34">
        <v>2026</v>
      </c>
      <c r="D46" s="34">
        <v>2027</v>
      </c>
      <c r="E46" s="34">
        <v>2028</v>
      </c>
      <c r="F46" s="34">
        <v>2029</v>
      </c>
    </row>
    <row r="47" spans="1:12" x14ac:dyDescent="0.35">
      <c r="B47" s="34" t="s">
        <v>79</v>
      </c>
      <c r="C47" s="34">
        <f>0</f>
        <v>0</v>
      </c>
      <c r="D47" s="34">
        <f>F9</f>
        <v>4806</v>
      </c>
      <c r="E47" s="34">
        <f>G9</f>
        <v>5046</v>
      </c>
      <c r="F47" s="34">
        <f>H9</f>
        <v>5298</v>
      </c>
    </row>
    <row r="48" spans="1:12" x14ac:dyDescent="0.35">
      <c r="B48" s="34" t="s">
        <v>80</v>
      </c>
      <c r="C48" s="42">
        <f>I16</f>
        <v>52030</v>
      </c>
      <c r="D48" s="34">
        <f>I17</f>
        <v>54632</v>
      </c>
      <c r="E48" s="34">
        <f>I18</f>
        <v>57364</v>
      </c>
      <c r="F48" s="34">
        <f>I19</f>
        <v>60232</v>
      </c>
    </row>
    <row r="49" spans="2:6" x14ac:dyDescent="0.35">
      <c r="B49" s="34" t="s">
        <v>81</v>
      </c>
      <c r="C49" s="42">
        <f>L33</f>
        <v>33541.199999999997</v>
      </c>
      <c r="D49" s="34">
        <f>L34</f>
        <v>35218</v>
      </c>
      <c r="E49" s="34">
        <f>L35</f>
        <v>36979</v>
      </c>
      <c r="F49" s="34">
        <f>L36</f>
        <v>38828</v>
      </c>
    </row>
    <row r="50" spans="2:6" x14ac:dyDescent="0.35">
      <c r="B50" s="35" t="s">
        <v>9</v>
      </c>
      <c r="C50" s="44">
        <f>SUM(C47:C49)</f>
        <v>85571.199999999997</v>
      </c>
      <c r="D50" s="44">
        <f t="shared" ref="D50:F50" si="1">SUM(D47:D49)</f>
        <v>94656</v>
      </c>
      <c r="E50" s="44">
        <f t="shared" si="1"/>
        <v>99389</v>
      </c>
      <c r="F50" s="44">
        <f t="shared" si="1"/>
        <v>104358</v>
      </c>
    </row>
  </sheetData>
  <mergeCells count="10">
    <mergeCell ref="B44:F44"/>
    <mergeCell ref="B45:B46"/>
    <mergeCell ref="A1:J2"/>
    <mergeCell ref="A7:B7"/>
    <mergeCell ref="C7:E7"/>
    <mergeCell ref="F7:H7"/>
    <mergeCell ref="A3:J4"/>
    <mergeCell ref="A10:L10"/>
    <mergeCell ref="A26:J26"/>
    <mergeCell ref="A42:J42"/>
  </mergeCells>
  <pageMargins left="0.7" right="0.7" top="0.75" bottom="0.75" header="0.3" footer="0.3"/>
  <pageSetup paperSize="9"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6CC6C-D3A8-4A9C-85B4-FBCBB68959C5}">
  <dimension ref="A2:M18"/>
  <sheetViews>
    <sheetView workbookViewId="0">
      <selection activeCell="I13" sqref="I13"/>
    </sheetView>
  </sheetViews>
  <sheetFormatPr defaultRowHeight="14.5" x14ac:dyDescent="0.35"/>
  <cols>
    <col min="2" max="2" width="12.6328125" customWidth="1"/>
    <col min="3" max="3" width="13.453125" customWidth="1"/>
    <col min="4" max="4" width="13.08984375" customWidth="1"/>
    <col min="5" max="5" width="10" bestFit="1" customWidth="1"/>
    <col min="6" max="6" width="10.90625" bestFit="1" customWidth="1"/>
  </cols>
  <sheetData>
    <row r="2" spans="1:13" x14ac:dyDescent="0.35">
      <c r="A2" t="s">
        <v>2</v>
      </c>
    </row>
    <row r="3" spans="1:13" x14ac:dyDescent="0.35">
      <c r="A3" t="s">
        <v>82</v>
      </c>
    </row>
    <row r="5" spans="1:13" x14ac:dyDescent="0.35">
      <c r="I5" s="10"/>
      <c r="J5" s="10"/>
      <c r="K5" s="10"/>
      <c r="L5" s="10"/>
      <c r="M5" s="11"/>
    </row>
    <row r="6" spans="1:13" x14ac:dyDescent="0.35">
      <c r="A6" s="217" t="s">
        <v>6</v>
      </c>
      <c r="B6" s="217"/>
      <c r="C6" s="217"/>
      <c r="D6" s="217"/>
      <c r="E6" s="217"/>
      <c r="F6" s="217"/>
    </row>
    <row r="7" spans="1:13" ht="58.5" x14ac:dyDescent="0.35">
      <c r="A7" s="2"/>
      <c r="B7" s="3" t="s">
        <v>12</v>
      </c>
      <c r="C7" s="3" t="s">
        <v>13</v>
      </c>
      <c r="D7" s="3" t="s">
        <v>7</v>
      </c>
      <c r="E7" s="3" t="s">
        <v>8</v>
      </c>
      <c r="F7" s="3" t="s">
        <v>9</v>
      </c>
    </row>
    <row r="8" spans="1:13" x14ac:dyDescent="0.35">
      <c r="A8" s="2"/>
      <c r="B8" s="4" t="s">
        <v>10</v>
      </c>
      <c r="C8" s="4" t="s">
        <v>10</v>
      </c>
      <c r="D8" s="4" t="s">
        <v>10</v>
      </c>
      <c r="E8" s="4" t="s">
        <v>10</v>
      </c>
      <c r="F8" s="4" t="s">
        <v>10</v>
      </c>
    </row>
    <row r="9" spans="1:13" x14ac:dyDescent="0.35">
      <c r="A9" s="2"/>
      <c r="B9" s="5">
        <f>113*10*90</f>
        <v>101700</v>
      </c>
      <c r="C9" s="5">
        <f>100*10*90</f>
        <v>90000</v>
      </c>
      <c r="D9" s="5">
        <f>(B9+C9)*10%</f>
        <v>19170</v>
      </c>
      <c r="E9" s="5">
        <f>ROUND((B9+C9+D9)*21%,0)</f>
        <v>44283</v>
      </c>
      <c r="F9" s="5">
        <f>SUM(B9:E9)</f>
        <v>255153</v>
      </c>
    </row>
    <row r="10" spans="1:13" x14ac:dyDescent="0.35">
      <c r="A10" s="2"/>
      <c r="B10" s="6" t="s">
        <v>11</v>
      </c>
      <c r="C10" s="7"/>
      <c r="D10" s="7"/>
      <c r="E10" s="7"/>
      <c r="F10" s="7"/>
    </row>
    <row r="11" spans="1:13" x14ac:dyDescent="0.35">
      <c r="A11" s="2"/>
      <c r="B11" s="8" t="s">
        <v>15</v>
      </c>
      <c r="C11" s="7"/>
      <c r="D11" s="7"/>
      <c r="E11" s="7"/>
      <c r="F11" s="7"/>
    </row>
    <row r="12" spans="1:13" x14ac:dyDescent="0.35">
      <c r="A12" s="2"/>
      <c r="B12" s="8" t="s">
        <v>14</v>
      </c>
      <c r="C12" s="7"/>
      <c r="D12" s="7"/>
      <c r="E12" s="7"/>
      <c r="F12" s="7"/>
    </row>
    <row r="13" spans="1:13" x14ac:dyDescent="0.35">
      <c r="A13" s="2"/>
      <c r="B13" s="2"/>
      <c r="C13" s="2"/>
      <c r="D13" s="2"/>
      <c r="E13" s="2"/>
      <c r="F13" s="2"/>
    </row>
    <row r="14" spans="1:13" x14ac:dyDescent="0.35">
      <c r="A14" s="2"/>
      <c r="B14" s="2"/>
      <c r="C14" s="206">
        <v>2026</v>
      </c>
      <c r="D14" s="206">
        <v>2027</v>
      </c>
      <c r="E14" s="206">
        <v>2028</v>
      </c>
      <c r="F14" s="207">
        <v>2029</v>
      </c>
    </row>
    <row r="15" spans="1:13" x14ac:dyDescent="0.35">
      <c r="A15" s="2"/>
      <c r="B15" s="2"/>
      <c r="C15" s="9" t="s">
        <v>10</v>
      </c>
      <c r="D15" s="9" t="s">
        <v>10</v>
      </c>
      <c r="E15" s="9" t="s">
        <v>10</v>
      </c>
      <c r="F15" s="9" t="s">
        <v>10</v>
      </c>
    </row>
    <row r="16" spans="1:13" x14ac:dyDescent="0.35">
      <c r="A16" s="2"/>
      <c r="B16" s="2"/>
      <c r="C16" s="5">
        <f>ROUND(F9,0)</f>
        <v>255153</v>
      </c>
      <c r="D16" s="5">
        <f>ROUND(C16*1.05,0)</f>
        <v>267911</v>
      </c>
      <c r="E16" s="5">
        <f>ROUND(D16*1.05,0)</f>
        <v>281307</v>
      </c>
      <c r="F16" s="5">
        <f>ROUND(E16*1.05,0)</f>
        <v>295372</v>
      </c>
    </row>
    <row r="17" spans="1:8" x14ac:dyDescent="0.35">
      <c r="A17" s="2"/>
      <c r="B17" s="2"/>
      <c r="C17" s="6"/>
      <c r="D17" s="2"/>
      <c r="E17" s="2"/>
      <c r="F17" s="2"/>
    </row>
    <row r="18" spans="1:8" ht="142.5" customHeight="1" x14ac:dyDescent="0.35">
      <c r="A18" s="216" t="s">
        <v>251</v>
      </c>
      <c r="B18" s="216"/>
      <c r="C18" s="216"/>
      <c r="D18" s="216"/>
      <c r="E18" s="216"/>
      <c r="F18" s="216"/>
      <c r="G18" s="216"/>
      <c r="H18" s="216"/>
    </row>
  </sheetData>
  <mergeCells count="2">
    <mergeCell ref="A6:F6"/>
    <mergeCell ref="A18:H1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D9A17-02F6-4BBF-88F3-12DBA639AB5A}">
  <dimension ref="A2:I25"/>
  <sheetViews>
    <sheetView topLeftCell="A14" zoomScale="85" zoomScaleNormal="85" workbookViewId="0">
      <selection activeCell="M11" sqref="M11"/>
    </sheetView>
  </sheetViews>
  <sheetFormatPr defaultRowHeight="14.5" x14ac:dyDescent="0.35"/>
  <cols>
    <col min="1" max="1" width="9.6328125" customWidth="1"/>
    <col min="2" max="2" width="9.7265625" customWidth="1"/>
    <col min="3" max="3" width="10.36328125" customWidth="1"/>
    <col min="5" max="5" width="10" customWidth="1"/>
    <col min="6" max="6" width="9.7265625" customWidth="1"/>
    <col min="7" max="7" width="10.36328125" customWidth="1"/>
    <col min="8" max="8" width="11.54296875" customWidth="1"/>
  </cols>
  <sheetData>
    <row r="2" spans="1:9" ht="15.5" x14ac:dyDescent="0.35">
      <c r="A2" t="s">
        <v>3</v>
      </c>
      <c r="C2" s="1" t="s">
        <v>4</v>
      </c>
    </row>
    <row r="3" spans="1:9" x14ac:dyDescent="0.35">
      <c r="A3" t="s">
        <v>5</v>
      </c>
    </row>
    <row r="4" spans="1:9" x14ac:dyDescent="0.35">
      <c r="A4" s="217" t="s">
        <v>6</v>
      </c>
      <c r="B4" s="217"/>
      <c r="C4" s="217"/>
      <c r="D4" s="217"/>
      <c r="E4" s="217"/>
      <c r="F4" s="217"/>
      <c r="G4" s="217"/>
      <c r="H4" s="217"/>
      <c r="I4" s="217"/>
    </row>
    <row r="5" spans="1:9" x14ac:dyDescent="0.35">
      <c r="A5" s="219"/>
      <c r="B5" s="219"/>
      <c r="C5" s="219"/>
      <c r="D5" s="219"/>
      <c r="E5" s="219"/>
      <c r="F5" s="219"/>
      <c r="G5" s="219"/>
      <c r="H5" s="219"/>
      <c r="I5" s="219"/>
    </row>
    <row r="6" spans="1:9" ht="20.5" customHeight="1" x14ac:dyDescent="0.35">
      <c r="A6" s="12" t="s">
        <v>16</v>
      </c>
      <c r="B6" s="13" t="s">
        <v>10</v>
      </c>
      <c r="C6" s="220" t="s">
        <v>17</v>
      </c>
      <c r="D6" s="220"/>
      <c r="E6" s="220"/>
      <c r="F6" s="220"/>
      <c r="G6" s="220"/>
      <c r="H6" s="220"/>
      <c r="I6" s="220"/>
    </row>
    <row r="7" spans="1:9" x14ac:dyDescent="0.35">
      <c r="A7" s="12" t="s">
        <v>18</v>
      </c>
      <c r="B7" s="14">
        <f>ROUND(I14,0)</f>
        <v>125784</v>
      </c>
      <c r="C7" s="218" t="s">
        <v>50</v>
      </c>
      <c r="D7" s="218"/>
      <c r="E7" s="218"/>
      <c r="F7" s="218"/>
      <c r="G7" s="218"/>
      <c r="H7" s="218"/>
      <c r="I7" s="218"/>
    </row>
    <row r="8" spans="1:9" x14ac:dyDescent="0.35">
      <c r="A8" s="12" t="s">
        <v>19</v>
      </c>
      <c r="B8" s="14">
        <f>ROUND(B7*2,0)</f>
        <v>251568</v>
      </c>
      <c r="C8" s="218" t="s">
        <v>51</v>
      </c>
      <c r="D8" s="218"/>
      <c r="E8" s="218"/>
      <c r="F8" s="218"/>
      <c r="G8" s="218"/>
      <c r="H8" s="218"/>
      <c r="I8" s="218"/>
    </row>
    <row r="9" spans="1:9" x14ac:dyDescent="0.35">
      <c r="A9" s="15" t="s">
        <v>46</v>
      </c>
      <c r="B9" s="14">
        <f>ROUND(B8*1.5,0)</f>
        <v>377352</v>
      </c>
      <c r="C9" s="218" t="s">
        <v>52</v>
      </c>
      <c r="D9" s="218"/>
      <c r="E9" s="218"/>
      <c r="F9" s="218"/>
      <c r="G9" s="218"/>
      <c r="H9" s="218"/>
      <c r="I9" s="218"/>
    </row>
    <row r="10" spans="1:9" x14ac:dyDescent="0.35">
      <c r="A10" s="2"/>
      <c r="B10" s="208"/>
      <c r="C10" s="2"/>
      <c r="D10" s="2"/>
      <c r="E10" s="2"/>
      <c r="F10" s="2"/>
      <c r="G10" s="2"/>
      <c r="H10" s="2"/>
      <c r="I10" s="2"/>
    </row>
    <row r="11" spans="1:9" ht="138" x14ac:dyDescent="0.35">
      <c r="A11" s="16" t="s">
        <v>20</v>
      </c>
      <c r="B11" s="16" t="s">
        <v>20</v>
      </c>
      <c r="C11" s="16" t="s">
        <v>21</v>
      </c>
      <c r="D11" s="17" t="s">
        <v>22</v>
      </c>
      <c r="E11" s="17" t="s">
        <v>23</v>
      </c>
      <c r="F11" s="17" t="s">
        <v>24</v>
      </c>
      <c r="G11" s="16" t="s">
        <v>25</v>
      </c>
      <c r="H11" s="16" t="s">
        <v>252</v>
      </c>
      <c r="I11" s="16" t="s">
        <v>26</v>
      </c>
    </row>
    <row r="12" spans="1:9" ht="23" x14ac:dyDescent="0.35">
      <c r="A12" s="18" t="s">
        <v>27</v>
      </c>
      <c r="B12" s="18" t="s">
        <v>10</v>
      </c>
      <c r="C12" s="18" t="s">
        <v>10</v>
      </c>
      <c r="D12" s="18" t="s">
        <v>10</v>
      </c>
      <c r="E12" s="18" t="s">
        <v>10</v>
      </c>
      <c r="F12" s="18" t="s">
        <v>10</v>
      </c>
      <c r="G12" s="18" t="s">
        <v>10</v>
      </c>
      <c r="H12" s="18" t="s">
        <v>10</v>
      </c>
      <c r="I12" s="18" t="s">
        <v>10</v>
      </c>
    </row>
    <row r="13" spans="1:9" ht="22" customHeight="1" x14ac:dyDescent="0.35">
      <c r="A13" s="19">
        <v>1</v>
      </c>
      <c r="B13" s="19" t="s">
        <v>48</v>
      </c>
      <c r="C13" s="19" t="s">
        <v>28</v>
      </c>
      <c r="D13" s="16">
        <v>4</v>
      </c>
      <c r="E13" s="20">
        <v>5</v>
      </c>
      <c r="F13" s="20">
        <v>6</v>
      </c>
      <c r="G13" s="20" t="s">
        <v>29</v>
      </c>
      <c r="H13" s="20" t="s">
        <v>253</v>
      </c>
      <c r="I13" s="21" t="s">
        <v>30</v>
      </c>
    </row>
    <row r="14" spans="1:9" x14ac:dyDescent="0.35">
      <c r="A14" s="22">
        <f>12*50</f>
        <v>600</v>
      </c>
      <c r="B14" s="23">
        <f xml:space="preserve"> 50*12*70</f>
        <v>42000</v>
      </c>
      <c r="C14" s="23">
        <f>A14*2.29</f>
        <v>1374</v>
      </c>
      <c r="D14" s="23">
        <f>H22</f>
        <v>58240</v>
      </c>
      <c r="E14" s="23">
        <f>72.29*3*8</f>
        <v>1734.96</v>
      </c>
      <c r="F14" s="23">
        <f>55*10*20</f>
        <v>11000</v>
      </c>
      <c r="G14" s="23">
        <f>B14+C14+D14+E14+F14</f>
        <v>114348.96</v>
      </c>
      <c r="H14" s="23">
        <f>G14*10%</f>
        <v>11434.896000000001</v>
      </c>
      <c r="I14" s="23">
        <f>G14+H14</f>
        <v>125783.856</v>
      </c>
    </row>
    <row r="15" spans="1:9" x14ac:dyDescent="0.35">
      <c r="A15" s="24" t="s">
        <v>31</v>
      </c>
      <c r="B15" s="25" t="s">
        <v>49</v>
      </c>
      <c r="C15" s="2"/>
      <c r="D15" s="2"/>
      <c r="E15" s="2"/>
      <c r="F15" s="2"/>
      <c r="G15" s="2"/>
      <c r="H15" s="2"/>
      <c r="I15" s="2"/>
    </row>
    <row r="16" spans="1:9" x14ac:dyDescent="0.35">
      <c r="A16" s="24" t="s">
        <v>32</v>
      </c>
      <c r="B16" s="25" t="s">
        <v>33</v>
      </c>
      <c r="C16" s="2"/>
      <c r="D16" s="2"/>
      <c r="E16" s="2"/>
      <c r="F16" s="2"/>
      <c r="G16" s="2"/>
      <c r="H16" s="2"/>
      <c r="I16" s="2"/>
    </row>
    <row r="17" spans="1:9" ht="33" customHeight="1" x14ac:dyDescent="0.35">
      <c r="A17" s="24" t="s">
        <v>34</v>
      </c>
      <c r="B17" s="33" t="s">
        <v>35</v>
      </c>
      <c r="C17" s="203" t="s">
        <v>245</v>
      </c>
      <c r="D17" s="203" t="s">
        <v>246</v>
      </c>
      <c r="E17" s="26" t="s">
        <v>36</v>
      </c>
      <c r="F17" s="26" t="s">
        <v>37</v>
      </c>
      <c r="G17" s="26" t="s">
        <v>38</v>
      </c>
      <c r="H17" s="33" t="s">
        <v>39</v>
      </c>
      <c r="I17" s="7"/>
    </row>
    <row r="18" spans="1:9" x14ac:dyDescent="0.35">
      <c r="A18" s="7"/>
      <c r="B18" s="27">
        <v>70</v>
      </c>
      <c r="C18" s="28">
        <v>2</v>
      </c>
      <c r="D18" s="28">
        <v>2</v>
      </c>
      <c r="E18" s="28">
        <v>16</v>
      </c>
      <c r="F18" s="29">
        <f>B18*C18*D18*E18</f>
        <v>4480</v>
      </c>
      <c r="G18" s="28">
        <v>8</v>
      </c>
      <c r="H18" s="29">
        <f>F18*G18</f>
        <v>35840</v>
      </c>
      <c r="I18" s="30" t="s">
        <v>40</v>
      </c>
    </row>
    <row r="19" spans="1:9" x14ac:dyDescent="0.35">
      <c r="A19" s="7"/>
      <c r="B19" s="27">
        <v>70</v>
      </c>
      <c r="C19" s="28">
        <v>2</v>
      </c>
      <c r="D19" s="28">
        <v>1</v>
      </c>
      <c r="E19" s="28">
        <v>16</v>
      </c>
      <c r="F19" s="29">
        <f>B19*C19*D19*E19</f>
        <v>2240</v>
      </c>
      <c r="G19" s="28">
        <v>8</v>
      </c>
      <c r="H19" s="29">
        <f>F19*G19</f>
        <v>17920</v>
      </c>
      <c r="I19" s="30" t="s">
        <v>41</v>
      </c>
    </row>
    <row r="20" spans="1:9" x14ac:dyDescent="0.35">
      <c r="A20" s="7"/>
      <c r="B20" s="27">
        <v>3</v>
      </c>
      <c r="C20" s="28">
        <v>5</v>
      </c>
      <c r="D20" s="28">
        <v>1</v>
      </c>
      <c r="E20" s="28">
        <v>16</v>
      </c>
      <c r="F20" s="29">
        <f>B20*C20*D20*E20</f>
        <v>240</v>
      </c>
      <c r="G20" s="28">
        <v>8</v>
      </c>
      <c r="H20" s="29">
        <f>F20*G20</f>
        <v>1920</v>
      </c>
      <c r="I20" s="30" t="s">
        <v>42</v>
      </c>
    </row>
    <row r="21" spans="1:9" x14ac:dyDescent="0.35">
      <c r="A21" s="7"/>
      <c r="B21" s="27">
        <v>10</v>
      </c>
      <c r="C21" s="28">
        <v>2</v>
      </c>
      <c r="D21" s="28">
        <v>1</v>
      </c>
      <c r="E21" s="28">
        <v>16</v>
      </c>
      <c r="F21" s="29">
        <f>B21*C21*D21*E21</f>
        <v>320</v>
      </c>
      <c r="G21" s="28">
        <v>8</v>
      </c>
      <c r="H21" s="29">
        <f>F21*G21</f>
        <v>2560</v>
      </c>
      <c r="I21" s="30" t="s">
        <v>43</v>
      </c>
    </row>
    <row r="22" spans="1:9" x14ac:dyDescent="0.35">
      <c r="A22" s="7"/>
      <c r="B22" s="8"/>
      <c r="C22" s="8"/>
      <c r="D22" s="8"/>
      <c r="E22" s="8"/>
      <c r="F22" s="8"/>
      <c r="G22" s="8"/>
      <c r="H22" s="31">
        <f>SUM(H18:H21)</f>
        <v>58240</v>
      </c>
      <c r="I22" s="7"/>
    </row>
    <row r="23" spans="1:9" x14ac:dyDescent="0.35">
      <c r="A23" s="24" t="s">
        <v>44</v>
      </c>
      <c r="B23" s="32" t="s">
        <v>53</v>
      </c>
      <c r="C23" s="7"/>
      <c r="D23" s="7"/>
      <c r="E23" s="7"/>
      <c r="F23" s="7"/>
      <c r="G23" s="7"/>
      <c r="H23" s="7"/>
      <c r="I23" s="2"/>
    </row>
    <row r="24" spans="1:9" x14ac:dyDescent="0.35">
      <c r="A24" s="24" t="s">
        <v>45</v>
      </c>
      <c r="B24" s="32" t="s">
        <v>47</v>
      </c>
      <c r="C24" s="7"/>
      <c r="D24" s="7"/>
      <c r="E24" s="7"/>
      <c r="F24" s="7"/>
      <c r="G24" s="7"/>
      <c r="H24" s="7"/>
      <c r="I24" s="2"/>
    </row>
    <row r="25" spans="1:9" x14ac:dyDescent="0.35">
      <c r="A25" s="24" t="s">
        <v>249</v>
      </c>
      <c r="B25" s="32" t="s">
        <v>254</v>
      </c>
      <c r="C25" s="205"/>
      <c r="D25" s="205"/>
      <c r="E25" s="205"/>
      <c r="F25" s="205"/>
      <c r="G25" s="205"/>
      <c r="H25" s="205"/>
      <c r="I25" s="205"/>
    </row>
  </sheetData>
  <mergeCells count="6">
    <mergeCell ref="C9:I9"/>
    <mergeCell ref="A4:I4"/>
    <mergeCell ref="A5:I5"/>
    <mergeCell ref="C6:I6"/>
    <mergeCell ref="C7:I7"/>
    <mergeCell ref="C8:I8"/>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A4393-2E03-437B-8E2C-C4D528DFD0F4}">
  <dimension ref="A1:Q160"/>
  <sheetViews>
    <sheetView tabSelected="1" topLeftCell="A68" workbookViewId="0">
      <selection activeCell="A71" sqref="A71:H71"/>
    </sheetView>
  </sheetViews>
  <sheetFormatPr defaultRowHeight="14.5" x14ac:dyDescent="0.35"/>
  <cols>
    <col min="1" max="1" width="8.81640625" bestFit="1" customWidth="1"/>
    <col min="2" max="2" width="8.90625" bestFit="1" customWidth="1"/>
    <col min="3" max="3" width="12.1796875" customWidth="1"/>
    <col min="4" max="4" width="15.08984375" customWidth="1"/>
    <col min="5" max="5" width="12.26953125" customWidth="1"/>
    <col min="6" max="6" width="8.90625" bestFit="1" customWidth="1"/>
    <col min="7" max="7" width="8.81640625" bestFit="1" customWidth="1"/>
    <col min="8" max="8" width="8.90625" bestFit="1" customWidth="1"/>
    <col min="9" max="11" width="8.81640625" bestFit="1" customWidth="1"/>
    <col min="12" max="12" width="8.90625" bestFit="1" customWidth="1"/>
    <col min="13" max="13" width="8.81640625" bestFit="1" customWidth="1"/>
    <col min="14" max="14" width="10.81640625" customWidth="1"/>
    <col min="15" max="15" width="8.81640625" bestFit="1" customWidth="1"/>
    <col min="16" max="16" width="18.26953125" customWidth="1"/>
  </cols>
  <sheetData>
    <row r="1" spans="1:17" x14ac:dyDescent="0.35">
      <c r="A1" s="46" t="s">
        <v>86</v>
      </c>
      <c r="B1" s="46"/>
      <c r="C1" s="46"/>
      <c r="D1" s="46"/>
      <c r="E1" s="46"/>
      <c r="F1" s="46"/>
      <c r="G1" s="46"/>
      <c r="H1" s="46"/>
      <c r="I1" s="46"/>
      <c r="J1" s="46"/>
      <c r="K1" s="46"/>
      <c r="L1" s="47"/>
      <c r="M1" s="46"/>
      <c r="N1" s="46"/>
      <c r="O1" s="46"/>
      <c r="P1" s="46"/>
      <c r="Q1" s="46"/>
    </row>
    <row r="2" spans="1:17" ht="31" customHeight="1" x14ac:dyDescent="0.35">
      <c r="A2" s="255" t="s">
        <v>242</v>
      </c>
      <c r="B2" s="255"/>
      <c r="C2" s="255"/>
      <c r="D2" s="255"/>
      <c r="E2" s="255"/>
      <c r="F2" s="255"/>
      <c r="G2" s="255"/>
      <c r="H2" s="255"/>
      <c r="I2" s="255"/>
      <c r="J2" s="255"/>
      <c r="K2" s="255"/>
      <c r="L2" s="255"/>
      <c r="M2" s="46"/>
      <c r="N2" s="46"/>
      <c r="O2" s="46"/>
      <c r="P2" s="46"/>
      <c r="Q2" s="46"/>
    </row>
    <row r="3" spans="1:17" x14ac:dyDescent="0.35">
      <c r="A3" s="7" t="s">
        <v>87</v>
      </c>
      <c r="B3" s="46"/>
      <c r="C3" s="46"/>
      <c r="D3" s="46"/>
      <c r="E3" s="46"/>
      <c r="F3" s="46"/>
      <c r="G3" s="46"/>
      <c r="H3" s="46"/>
      <c r="I3" s="46"/>
      <c r="J3" s="46"/>
      <c r="K3" s="46"/>
      <c r="L3" s="46"/>
      <c r="M3" s="46"/>
      <c r="N3" s="46"/>
      <c r="O3" s="46"/>
      <c r="P3" s="46"/>
      <c r="Q3" s="46"/>
    </row>
    <row r="4" spans="1:17" x14ac:dyDescent="0.35">
      <c r="A4" s="221" t="s">
        <v>88</v>
      </c>
      <c r="B4" s="221"/>
      <c r="C4" s="221"/>
      <c r="D4" s="221"/>
      <c r="E4" s="221"/>
      <c r="F4" s="221"/>
      <c r="G4" s="221"/>
      <c r="H4" s="221"/>
      <c r="I4" s="221"/>
      <c r="J4" s="221"/>
      <c r="K4" s="221"/>
      <c r="L4" s="221"/>
      <c r="M4" s="221"/>
      <c r="N4" s="221"/>
      <c r="O4" s="221"/>
      <c r="P4" s="221"/>
      <c r="Q4" s="46"/>
    </row>
    <row r="5" spans="1:17" x14ac:dyDescent="0.35">
      <c r="A5" s="222" t="s">
        <v>89</v>
      </c>
      <c r="B5" s="222"/>
      <c r="C5" s="222"/>
      <c r="D5" s="224" t="s">
        <v>90</v>
      </c>
      <c r="E5" s="224"/>
      <c r="F5" s="224"/>
      <c r="G5" s="224"/>
      <c r="H5" s="224"/>
      <c r="I5" s="224"/>
      <c r="J5" s="224" t="s">
        <v>91</v>
      </c>
      <c r="K5" s="224"/>
      <c r="L5" s="224"/>
      <c r="M5" s="224"/>
      <c r="N5" s="224"/>
      <c r="O5" s="224"/>
      <c r="P5" s="225" t="s">
        <v>92</v>
      </c>
      <c r="Q5" s="46"/>
    </row>
    <row r="6" spans="1:17" ht="34" customHeight="1" x14ac:dyDescent="0.35">
      <c r="A6" s="223"/>
      <c r="B6" s="223"/>
      <c r="C6" s="223"/>
      <c r="D6" s="226">
        <v>2024</v>
      </c>
      <c r="E6" s="227"/>
      <c r="F6" s="226">
        <v>2025</v>
      </c>
      <c r="G6" s="227"/>
      <c r="H6" s="226">
        <v>2026</v>
      </c>
      <c r="I6" s="227"/>
      <c r="J6" s="48">
        <v>2024</v>
      </c>
      <c r="K6" s="48">
        <v>2025</v>
      </c>
      <c r="L6" s="48">
        <v>2026</v>
      </c>
      <c r="M6" s="48">
        <v>2027</v>
      </c>
      <c r="N6" s="49">
        <v>2028</v>
      </c>
      <c r="O6" s="48">
        <v>2029</v>
      </c>
      <c r="P6" s="223"/>
      <c r="Q6" s="46"/>
    </row>
    <row r="7" spans="1:17" x14ac:dyDescent="0.35">
      <c r="A7" s="222" t="s">
        <v>93</v>
      </c>
      <c r="B7" s="222"/>
      <c r="C7" s="222"/>
      <c r="D7" s="228">
        <f>D9+D10</f>
        <v>446144</v>
      </c>
      <c r="E7" s="228"/>
      <c r="F7" s="228">
        <f>F9+F10</f>
        <v>590073</v>
      </c>
      <c r="G7" s="228"/>
      <c r="H7" s="228">
        <f>H9+H10</f>
        <v>767304.8</v>
      </c>
      <c r="I7" s="228"/>
      <c r="J7" s="50">
        <v>0</v>
      </c>
      <c r="K7" s="50">
        <v>0</v>
      </c>
      <c r="L7" s="50">
        <v>0</v>
      </c>
      <c r="M7" s="50">
        <f>M10</f>
        <v>200274</v>
      </c>
      <c r="N7" s="50">
        <f t="shared" ref="N7:O7" si="0">N10</f>
        <v>229329</v>
      </c>
      <c r="O7" s="50">
        <f t="shared" si="0"/>
        <v>229329</v>
      </c>
      <c r="P7" s="51"/>
      <c r="Q7" s="46"/>
    </row>
    <row r="8" spans="1:17" x14ac:dyDescent="0.35">
      <c r="A8" s="229" t="s">
        <v>94</v>
      </c>
      <c r="B8" s="229"/>
      <c r="C8" s="229"/>
      <c r="D8" s="230"/>
      <c r="E8" s="230"/>
      <c r="F8" s="230"/>
      <c r="G8" s="230"/>
      <c r="H8" s="230"/>
      <c r="I8" s="230"/>
      <c r="J8" s="52"/>
      <c r="K8" s="52"/>
      <c r="L8" s="52"/>
      <c r="M8" s="52"/>
      <c r="N8" s="52"/>
      <c r="O8" s="52"/>
      <c r="P8" s="51"/>
      <c r="Q8" s="46"/>
    </row>
    <row r="9" spans="1:17" x14ac:dyDescent="0.35">
      <c r="A9" s="53"/>
      <c r="B9" s="54" t="s">
        <v>95</v>
      </c>
      <c r="C9" s="55" t="s">
        <v>96</v>
      </c>
      <c r="D9" s="231">
        <v>48400</v>
      </c>
      <c r="E9" s="232"/>
      <c r="F9" s="233">
        <v>48400</v>
      </c>
      <c r="G9" s="233"/>
      <c r="H9" s="233">
        <v>48400</v>
      </c>
      <c r="I9" s="233"/>
      <c r="J9" s="161">
        <v>0</v>
      </c>
      <c r="K9" s="161">
        <v>0</v>
      </c>
      <c r="L9" s="161">
        <v>0</v>
      </c>
      <c r="M9" s="161">
        <v>0</v>
      </c>
      <c r="N9" s="161">
        <v>0</v>
      </c>
      <c r="O9" s="161">
        <v>0</v>
      </c>
      <c r="P9" s="51"/>
      <c r="Q9" s="46"/>
    </row>
    <row r="10" spans="1:17" x14ac:dyDescent="0.35">
      <c r="A10" s="53"/>
      <c r="B10" s="54" t="s">
        <v>97</v>
      </c>
      <c r="C10" s="55" t="s">
        <v>96</v>
      </c>
      <c r="D10" s="231">
        <f>D11+D12</f>
        <v>397744</v>
      </c>
      <c r="E10" s="232"/>
      <c r="F10" s="231">
        <f t="shared" ref="F10" si="1">F11+F12</f>
        <v>541673</v>
      </c>
      <c r="G10" s="232"/>
      <c r="H10" s="231">
        <f t="shared" ref="H10" si="2">H11+H12</f>
        <v>718904.8</v>
      </c>
      <c r="I10" s="232"/>
      <c r="J10" s="161"/>
      <c r="K10" s="161"/>
      <c r="L10" s="161"/>
      <c r="M10" s="161">
        <f>M12</f>
        <v>200274</v>
      </c>
      <c r="N10" s="161">
        <f>N12</f>
        <v>229329</v>
      </c>
      <c r="O10" s="161">
        <f>O12</f>
        <v>229329</v>
      </c>
      <c r="P10" s="51"/>
      <c r="Q10" s="46"/>
    </row>
    <row r="11" spans="1:17" ht="65" x14ac:dyDescent="0.35">
      <c r="A11" s="56"/>
      <c r="B11" s="57"/>
      <c r="C11" s="58" t="s">
        <v>98</v>
      </c>
      <c r="D11" s="231">
        <v>397744</v>
      </c>
      <c r="E11" s="232"/>
      <c r="F11" s="231">
        <v>541673</v>
      </c>
      <c r="G11" s="232"/>
      <c r="H11" s="231">
        <v>548173</v>
      </c>
      <c r="I11" s="232"/>
      <c r="J11" s="162">
        <v>0</v>
      </c>
      <c r="K11" s="162">
        <v>0</v>
      </c>
      <c r="L11" s="162">
        <v>0</v>
      </c>
      <c r="M11" s="162">
        <v>0</v>
      </c>
      <c r="N11" s="162">
        <v>0</v>
      </c>
      <c r="O11" s="162">
        <v>0</v>
      </c>
      <c r="P11" s="51"/>
      <c r="Q11" s="46"/>
    </row>
    <row r="12" spans="1:17" ht="78" x14ac:dyDescent="0.35">
      <c r="A12" s="56"/>
      <c r="B12" s="57"/>
      <c r="C12" s="58" t="s">
        <v>99</v>
      </c>
      <c r="D12" s="231">
        <v>0</v>
      </c>
      <c r="E12" s="232"/>
      <c r="F12" s="232">
        <v>0</v>
      </c>
      <c r="G12" s="232"/>
      <c r="H12" s="231">
        <v>170731.8</v>
      </c>
      <c r="I12" s="232"/>
      <c r="J12" s="162">
        <v>0</v>
      </c>
      <c r="K12" s="162">
        <v>0</v>
      </c>
      <c r="L12" s="162">
        <v>0</v>
      </c>
      <c r="M12" s="161">
        <f>G158</f>
        <v>200274</v>
      </c>
      <c r="N12" s="161">
        <f>H158</f>
        <v>229329</v>
      </c>
      <c r="O12" s="161">
        <f>H158</f>
        <v>229329</v>
      </c>
      <c r="P12" s="51"/>
      <c r="Q12" s="46"/>
    </row>
    <row r="13" spans="1:17" x14ac:dyDescent="0.35">
      <c r="A13" s="59"/>
      <c r="B13" s="60"/>
      <c r="C13" s="151"/>
      <c r="D13" s="61"/>
      <c r="E13" s="61"/>
      <c r="F13" s="61"/>
      <c r="G13" s="61"/>
      <c r="H13" s="61"/>
      <c r="I13" s="61"/>
      <c r="J13" s="62"/>
      <c r="K13" s="62"/>
      <c r="L13" s="62"/>
      <c r="M13" s="62"/>
      <c r="N13" s="62"/>
      <c r="O13" s="62"/>
      <c r="P13" s="46"/>
      <c r="Q13" s="46"/>
    </row>
    <row r="14" spans="1:17" x14ac:dyDescent="0.35">
      <c r="A14" s="46"/>
      <c r="B14" s="46"/>
      <c r="C14" s="46"/>
      <c r="D14" s="46"/>
      <c r="E14" s="46"/>
      <c r="F14" s="46"/>
      <c r="G14" s="46"/>
      <c r="H14" s="46"/>
      <c r="I14" s="46"/>
      <c r="J14" s="46"/>
      <c r="K14" s="46"/>
      <c r="L14" s="46"/>
      <c r="M14" s="46"/>
      <c r="N14" s="46"/>
      <c r="O14" s="46"/>
      <c r="P14" s="46"/>
      <c r="Q14" s="46"/>
    </row>
    <row r="15" spans="1:17" x14ac:dyDescent="0.35">
      <c r="A15" s="237" t="s">
        <v>215</v>
      </c>
      <c r="B15" s="237"/>
      <c r="C15" s="237"/>
      <c r="D15" s="237"/>
      <c r="E15" s="237"/>
      <c r="F15" s="237"/>
      <c r="G15" s="237"/>
      <c r="H15" s="237"/>
      <c r="I15" s="237"/>
      <c r="J15" s="237"/>
      <c r="K15" s="237"/>
      <c r="L15" s="237"/>
      <c r="M15" s="237"/>
      <c r="N15" s="237"/>
      <c r="O15" s="46"/>
      <c r="P15" s="46"/>
      <c r="Q15" s="46"/>
    </row>
    <row r="16" spans="1:17" ht="86" customHeight="1" x14ac:dyDescent="0.35">
      <c r="A16" s="238" t="s">
        <v>100</v>
      </c>
      <c r="B16" s="238"/>
      <c r="C16" s="238"/>
      <c r="D16" s="238"/>
      <c r="E16" s="238"/>
      <c r="F16" s="238"/>
      <c r="G16" s="238"/>
      <c r="H16" s="238"/>
      <c r="I16" s="238"/>
      <c r="J16" s="238"/>
      <c r="K16" s="238"/>
      <c r="L16" s="238"/>
      <c r="M16" s="238"/>
      <c r="N16" s="238"/>
      <c r="O16" s="63"/>
      <c r="P16" s="63"/>
      <c r="Q16" s="63"/>
    </row>
    <row r="17" spans="1:17" x14ac:dyDescent="0.35">
      <c r="A17" s="64"/>
      <c r="B17" s="65"/>
      <c r="C17" s="65"/>
      <c r="D17" s="65"/>
      <c r="E17" s="65"/>
      <c r="F17" s="65"/>
      <c r="G17" s="65"/>
      <c r="H17" s="65"/>
      <c r="I17" s="65"/>
      <c r="J17" s="65"/>
      <c r="K17" s="63"/>
      <c r="L17" s="63"/>
      <c r="M17" s="63"/>
      <c r="N17" s="63"/>
      <c r="O17" s="63"/>
      <c r="P17" s="63"/>
      <c r="Q17" s="63"/>
    </row>
    <row r="18" spans="1:17" s="150" customFormat="1" ht="39.5" customHeight="1" x14ac:dyDescent="0.35">
      <c r="A18" s="246" t="s">
        <v>216</v>
      </c>
      <c r="B18" s="246"/>
      <c r="C18" s="246"/>
      <c r="D18" s="87"/>
      <c r="E18" s="87"/>
      <c r="F18" s="87"/>
      <c r="G18" s="87"/>
      <c r="H18" s="87"/>
      <c r="I18" s="87"/>
      <c r="J18" s="87"/>
      <c r="K18" s="87"/>
      <c r="L18" s="87"/>
      <c r="M18" s="87"/>
      <c r="N18" s="87"/>
      <c r="O18" s="87"/>
      <c r="P18" s="87"/>
      <c r="Q18" s="87"/>
    </row>
    <row r="19" spans="1:17" x14ac:dyDescent="0.35">
      <c r="A19" s="66"/>
      <c r="B19" s="63"/>
      <c r="C19" s="63"/>
      <c r="D19" s="63"/>
      <c r="E19" s="63"/>
      <c r="F19" s="63"/>
      <c r="G19" s="63"/>
      <c r="H19" s="63"/>
      <c r="I19" s="63"/>
      <c r="J19" s="63"/>
      <c r="K19" s="63"/>
      <c r="L19" s="63"/>
      <c r="M19" s="63"/>
      <c r="N19" s="63"/>
      <c r="O19" s="63"/>
      <c r="P19" s="63"/>
      <c r="Q19" s="63"/>
    </row>
    <row r="20" spans="1:17" x14ac:dyDescent="0.35">
      <c r="A20" s="239" t="s">
        <v>101</v>
      </c>
      <c r="B20" s="239"/>
      <c r="C20" s="239"/>
      <c r="D20" s="239"/>
      <c r="E20" s="239"/>
      <c r="F20" s="239"/>
      <c r="G20" s="239"/>
      <c r="H20" s="239"/>
      <c r="I20" s="239"/>
      <c r="J20" s="239"/>
      <c r="K20" s="239"/>
      <c r="L20" s="239"/>
      <c r="M20" s="239"/>
      <c r="N20" s="239"/>
      <c r="O20" s="239"/>
      <c r="P20" s="239"/>
      <c r="Q20" s="239"/>
    </row>
    <row r="21" spans="1:17" ht="112" x14ac:dyDescent="0.35">
      <c r="A21" s="67" t="s">
        <v>102</v>
      </c>
      <c r="B21" s="67" t="s">
        <v>103</v>
      </c>
      <c r="C21" s="152" t="s">
        <v>104</v>
      </c>
      <c r="D21" s="67" t="s">
        <v>105</v>
      </c>
      <c r="E21" s="67" t="s">
        <v>106</v>
      </c>
      <c r="F21" s="153" t="s">
        <v>107</v>
      </c>
      <c r="G21" s="153" t="s">
        <v>108</v>
      </c>
      <c r="H21" s="153" t="s">
        <v>109</v>
      </c>
      <c r="I21" s="153" t="s">
        <v>110</v>
      </c>
      <c r="J21" s="153" t="s">
        <v>111</v>
      </c>
      <c r="K21" s="153" t="s">
        <v>112</v>
      </c>
      <c r="L21" s="153" t="s">
        <v>113</v>
      </c>
      <c r="M21" s="153" t="s">
        <v>114</v>
      </c>
      <c r="N21" s="154" t="s">
        <v>115</v>
      </c>
      <c r="O21" s="155"/>
      <c r="P21" s="63"/>
      <c r="Q21" s="63"/>
    </row>
    <row r="22" spans="1:17" ht="42" x14ac:dyDescent="0.35">
      <c r="A22" s="76">
        <v>1</v>
      </c>
      <c r="B22" s="76">
        <v>2</v>
      </c>
      <c r="C22" s="76">
        <v>3</v>
      </c>
      <c r="D22" s="76">
        <v>4</v>
      </c>
      <c r="E22" s="76">
        <v>5</v>
      </c>
      <c r="F22" s="71">
        <v>6</v>
      </c>
      <c r="G22" s="71">
        <v>7</v>
      </c>
      <c r="H22" s="71" t="s">
        <v>116</v>
      </c>
      <c r="I22" s="71" t="s">
        <v>117</v>
      </c>
      <c r="J22" s="71" t="s">
        <v>118</v>
      </c>
      <c r="K22" s="71" t="s">
        <v>119</v>
      </c>
      <c r="L22" s="71" t="s">
        <v>120</v>
      </c>
      <c r="M22" s="71">
        <v>13</v>
      </c>
      <c r="N22" s="71" t="s">
        <v>121</v>
      </c>
      <c r="O22" s="155"/>
      <c r="P22" s="63"/>
      <c r="Q22" s="63"/>
    </row>
    <row r="23" spans="1:17" ht="28" x14ac:dyDescent="0.35">
      <c r="A23" s="68" t="s">
        <v>122</v>
      </c>
      <c r="B23" s="67">
        <v>2</v>
      </c>
      <c r="C23" s="69" t="s">
        <v>123</v>
      </c>
      <c r="D23" s="70" t="s">
        <v>124</v>
      </c>
      <c r="E23" s="71">
        <v>9</v>
      </c>
      <c r="F23" s="72">
        <v>2011</v>
      </c>
      <c r="G23" s="73">
        <f>F23*B23</f>
        <v>4022</v>
      </c>
      <c r="H23" s="73">
        <f>G23*6</f>
        <v>24132</v>
      </c>
      <c r="I23" s="73">
        <f>H23*10%</f>
        <v>2413.2000000000003</v>
      </c>
      <c r="J23" s="73">
        <f>H23*5%</f>
        <v>1206.6000000000001</v>
      </c>
      <c r="K23" s="73">
        <f>H23*5%</f>
        <v>1206.6000000000001</v>
      </c>
      <c r="L23" s="73">
        <f>(H23+I23+J23+K23)*23.59%</f>
        <v>6831.2865599999996</v>
      </c>
      <c r="M23" s="74">
        <f>426.86*2</f>
        <v>853.72</v>
      </c>
      <c r="N23" s="73">
        <f>ROUNDUP(H23+I23+J23+K23+L23+M23,0)</f>
        <v>36644</v>
      </c>
      <c r="O23" s="155"/>
      <c r="P23" s="63"/>
      <c r="Q23" s="63"/>
    </row>
    <row r="24" spans="1:17" ht="42" x14ac:dyDescent="0.35">
      <c r="A24" s="68" t="s">
        <v>125</v>
      </c>
      <c r="B24" s="67">
        <v>1</v>
      </c>
      <c r="C24" s="75" t="s">
        <v>126</v>
      </c>
      <c r="D24" s="76" t="s">
        <v>127</v>
      </c>
      <c r="E24" s="76">
        <v>9</v>
      </c>
      <c r="F24" s="77">
        <v>2011</v>
      </c>
      <c r="G24" s="71">
        <f t="shared" ref="G24:G25" si="3">F24*B24</f>
        <v>2011</v>
      </c>
      <c r="H24" s="73">
        <f t="shared" ref="H24:H25" si="4">G24*6</f>
        <v>12066</v>
      </c>
      <c r="I24" s="73">
        <f t="shared" ref="I24:I25" si="5">H24*10%</f>
        <v>1206.6000000000001</v>
      </c>
      <c r="J24" s="73">
        <f t="shared" ref="J24:J25" si="6">H24*5%</f>
        <v>603.30000000000007</v>
      </c>
      <c r="K24" s="73">
        <f t="shared" ref="K24:K25" si="7">H24*5%</f>
        <v>603.30000000000007</v>
      </c>
      <c r="L24" s="73">
        <f t="shared" ref="L24" si="8">(H24+I24+J24+K24)*23.59%</f>
        <v>3415.6432799999998</v>
      </c>
      <c r="M24" s="74">
        <f>426.86</f>
        <v>426.86</v>
      </c>
      <c r="N24" s="73">
        <f t="shared" ref="N24:N25" si="9">ROUNDUP(H24+I24+J24+K24+L24+M24,0)</f>
        <v>18322</v>
      </c>
      <c r="O24" s="155"/>
      <c r="P24" s="63"/>
      <c r="Q24" s="63"/>
    </row>
    <row r="25" spans="1:17" ht="28" x14ac:dyDescent="0.35">
      <c r="A25" s="78" t="s">
        <v>128</v>
      </c>
      <c r="B25" s="67">
        <v>0.3</v>
      </c>
      <c r="C25" s="75" t="s">
        <v>129</v>
      </c>
      <c r="D25" s="76" t="s">
        <v>124</v>
      </c>
      <c r="E25" s="76">
        <v>10</v>
      </c>
      <c r="F25" s="79">
        <v>2432</v>
      </c>
      <c r="G25" s="71">
        <f t="shared" si="3"/>
        <v>729.6</v>
      </c>
      <c r="H25" s="73">
        <f t="shared" si="4"/>
        <v>4377.6000000000004</v>
      </c>
      <c r="I25" s="73">
        <f t="shared" si="5"/>
        <v>437.76000000000005</v>
      </c>
      <c r="J25" s="73">
        <f t="shared" si="6"/>
        <v>218.88000000000002</v>
      </c>
      <c r="K25" s="73">
        <f t="shared" si="7"/>
        <v>218.88000000000002</v>
      </c>
      <c r="L25" s="73">
        <f>(H25+I25+J25+K25)*23.59%</f>
        <v>1239.2110080000002</v>
      </c>
      <c r="M25" s="74">
        <f>426.86</f>
        <v>426.86</v>
      </c>
      <c r="N25" s="73">
        <f t="shared" si="9"/>
        <v>6920</v>
      </c>
      <c r="O25" s="155"/>
      <c r="P25" s="63"/>
      <c r="Q25" s="63"/>
    </row>
    <row r="26" spans="1:17" x14ac:dyDescent="0.35">
      <c r="A26" s="80" t="s">
        <v>130</v>
      </c>
      <c r="B26" s="81">
        <f>SUM(B23:B25)</f>
        <v>3.3</v>
      </c>
      <c r="C26" s="82"/>
      <c r="D26" s="83"/>
      <c r="E26" s="83"/>
      <c r="F26" s="83"/>
      <c r="G26" s="84">
        <f t="shared" ref="G26:N26" si="10">SUM(G23:G25)</f>
        <v>6762.6</v>
      </c>
      <c r="H26" s="84">
        <f t="shared" si="10"/>
        <v>40575.599999999999</v>
      </c>
      <c r="I26" s="84">
        <f t="shared" si="10"/>
        <v>4057.5600000000004</v>
      </c>
      <c r="J26" s="84">
        <f t="shared" si="10"/>
        <v>2028.7800000000002</v>
      </c>
      <c r="K26" s="84">
        <f t="shared" si="10"/>
        <v>2028.7800000000002</v>
      </c>
      <c r="L26" s="84">
        <f t="shared" si="10"/>
        <v>11486.140847999999</v>
      </c>
      <c r="M26" s="84">
        <f t="shared" si="10"/>
        <v>1707.44</v>
      </c>
      <c r="N26" s="84">
        <f t="shared" si="10"/>
        <v>61886</v>
      </c>
      <c r="O26" s="155"/>
      <c r="P26" s="63"/>
      <c r="Q26" s="63"/>
    </row>
    <row r="27" spans="1:17" x14ac:dyDescent="0.35">
      <c r="A27" s="240" t="s">
        <v>131</v>
      </c>
      <c r="B27" s="240"/>
      <c r="C27" s="240"/>
      <c r="D27" s="240"/>
      <c r="E27" s="240"/>
      <c r="F27" s="240"/>
      <c r="G27" s="240"/>
      <c r="H27" s="240"/>
      <c r="I27" s="240"/>
      <c r="J27" s="240"/>
      <c r="K27" s="240"/>
      <c r="L27" s="240"/>
      <c r="M27" s="240"/>
      <c r="N27" s="240"/>
      <c r="O27" s="156"/>
      <c r="P27" s="156"/>
      <c r="Q27" s="156"/>
    </row>
    <row r="28" spans="1:17" x14ac:dyDescent="0.35">
      <c r="A28" s="63"/>
      <c r="B28" s="63"/>
      <c r="C28" s="63"/>
      <c r="D28" s="63"/>
      <c r="E28" s="63"/>
      <c r="F28" s="63"/>
      <c r="G28" s="63"/>
      <c r="H28" s="63"/>
      <c r="I28" s="63"/>
      <c r="J28" s="63"/>
      <c r="K28" s="63"/>
      <c r="L28" s="63"/>
      <c r="M28" s="63"/>
      <c r="N28" s="63"/>
      <c r="O28" s="63"/>
      <c r="P28" s="63"/>
      <c r="Q28" s="63"/>
    </row>
    <row r="29" spans="1:17" x14ac:dyDescent="0.35">
      <c r="A29" s="85" t="s">
        <v>132</v>
      </c>
      <c r="B29" s="85"/>
      <c r="C29" s="86"/>
      <c r="D29" s="63"/>
      <c r="E29" s="63"/>
      <c r="F29" s="63"/>
      <c r="G29" s="63"/>
      <c r="H29" s="63"/>
      <c r="I29" s="63"/>
      <c r="J29" s="63"/>
      <c r="K29" s="63"/>
      <c r="L29" s="63"/>
      <c r="M29" s="63"/>
      <c r="N29" s="63"/>
      <c r="O29" s="63"/>
      <c r="P29" s="63"/>
      <c r="Q29" s="63"/>
    </row>
    <row r="30" spans="1:17" x14ac:dyDescent="0.35">
      <c r="A30" s="87" t="s">
        <v>133</v>
      </c>
      <c r="B30" s="87"/>
      <c r="C30" s="87"/>
      <c r="D30" s="87"/>
      <c r="E30" s="87"/>
      <c r="F30" s="87"/>
      <c r="G30" s="87"/>
      <c r="H30" s="87"/>
      <c r="I30" s="87"/>
      <c r="J30" s="87"/>
      <c r="K30" s="87"/>
      <c r="L30" s="87"/>
      <c r="M30" s="63"/>
      <c r="N30" s="63"/>
      <c r="O30" s="63"/>
      <c r="P30" s="63"/>
      <c r="Q30" s="63"/>
    </row>
    <row r="31" spans="1:17" x14ac:dyDescent="0.35">
      <c r="A31" s="87"/>
      <c r="B31" s="87"/>
      <c r="C31" s="87"/>
      <c r="D31" s="87"/>
      <c r="E31" s="87"/>
      <c r="F31" s="87"/>
      <c r="G31" s="87"/>
      <c r="H31" s="87"/>
      <c r="I31" s="87"/>
      <c r="J31" s="87"/>
      <c r="K31" s="87"/>
      <c r="L31" s="87"/>
      <c r="M31" s="63"/>
      <c r="N31" s="63"/>
      <c r="O31" s="63"/>
      <c r="P31" s="63"/>
      <c r="Q31" s="63"/>
    </row>
    <row r="32" spans="1:17" x14ac:dyDescent="0.35">
      <c r="A32" s="234" t="s">
        <v>134</v>
      </c>
      <c r="B32" s="235"/>
      <c r="C32" s="235"/>
      <c r="D32" s="236"/>
      <c r="E32" s="88">
        <f>D47</f>
        <v>17372</v>
      </c>
      <c r="F32" s="89"/>
      <c r="G32" s="90"/>
      <c r="H32" s="89"/>
      <c r="I32" s="89"/>
      <c r="J32" s="89"/>
      <c r="K32" s="89"/>
      <c r="L32" s="89"/>
      <c r="M32" s="63"/>
      <c r="N32" s="63"/>
      <c r="O32" s="63"/>
      <c r="P32" s="63"/>
      <c r="Q32" s="63"/>
    </row>
    <row r="33" spans="1:17" x14ac:dyDescent="0.35">
      <c r="A33" s="234" t="s">
        <v>135</v>
      </c>
      <c r="B33" s="235"/>
      <c r="C33" s="235"/>
      <c r="D33" s="236"/>
      <c r="E33" s="88">
        <f>B62</f>
        <v>16074</v>
      </c>
      <c r="F33" s="89"/>
      <c r="G33" s="89"/>
      <c r="H33" s="89"/>
      <c r="I33" s="89"/>
      <c r="J33" s="89"/>
      <c r="K33" s="89"/>
      <c r="L33" s="89"/>
      <c r="M33" s="63"/>
      <c r="N33" s="63"/>
      <c r="O33" s="63"/>
      <c r="P33" s="63"/>
      <c r="Q33" s="63"/>
    </row>
    <row r="34" spans="1:17" x14ac:dyDescent="0.35">
      <c r="A34" s="251" t="s">
        <v>136</v>
      </c>
      <c r="B34" s="252"/>
      <c r="C34" s="252"/>
      <c r="D34" s="253"/>
      <c r="E34" s="88">
        <f>(80*2*6)+(100*2*6)</f>
        <v>2160</v>
      </c>
      <c r="F34" s="89"/>
      <c r="G34" s="89"/>
      <c r="H34" s="89"/>
      <c r="I34" s="89"/>
      <c r="J34" s="89"/>
      <c r="K34" s="89"/>
      <c r="L34" s="89"/>
      <c r="M34" s="63"/>
      <c r="N34" s="63"/>
      <c r="O34" s="63"/>
      <c r="P34" s="63"/>
      <c r="Q34" s="63"/>
    </row>
    <row r="35" spans="1:17" x14ac:dyDescent="0.35">
      <c r="A35" s="241" t="s">
        <v>137</v>
      </c>
      <c r="B35" s="242"/>
      <c r="C35" s="242"/>
      <c r="D35" s="243"/>
      <c r="E35" s="91">
        <f>SUM(E32:E34)</f>
        <v>35606</v>
      </c>
      <c r="F35" s="92"/>
      <c r="G35" s="92"/>
      <c r="H35" s="92"/>
      <c r="I35" s="92"/>
      <c r="J35" s="92"/>
      <c r="K35" s="92"/>
      <c r="L35" s="92"/>
      <c r="M35" s="63"/>
      <c r="N35" s="63"/>
      <c r="O35" s="63"/>
      <c r="P35" s="63"/>
      <c r="Q35" s="63"/>
    </row>
    <row r="36" spans="1:17" x14ac:dyDescent="0.35">
      <c r="A36" s="93"/>
      <c r="B36" s="93"/>
      <c r="C36" s="93"/>
      <c r="D36" s="93"/>
      <c r="E36" s="94"/>
      <c r="F36" s="92"/>
      <c r="G36" s="92"/>
      <c r="H36" s="92"/>
      <c r="I36" s="92"/>
      <c r="J36" s="92"/>
      <c r="K36" s="92"/>
      <c r="L36" s="92"/>
      <c r="M36" s="63"/>
      <c r="N36" s="63"/>
      <c r="O36" s="63"/>
      <c r="P36" s="63"/>
      <c r="Q36" s="63"/>
    </row>
    <row r="37" spans="1:17" ht="73.5" customHeight="1" x14ac:dyDescent="0.35">
      <c r="A37" s="238" t="s">
        <v>138</v>
      </c>
      <c r="B37" s="238"/>
      <c r="C37" s="238"/>
      <c r="D37" s="238"/>
      <c r="E37" s="238"/>
      <c r="F37" s="238"/>
      <c r="G37" s="238"/>
      <c r="H37" s="238"/>
      <c r="I37" s="238"/>
      <c r="J37" s="238"/>
      <c r="K37" s="238"/>
      <c r="L37" s="238"/>
      <c r="M37" s="238"/>
      <c r="N37" s="238"/>
      <c r="O37" s="63"/>
      <c r="P37" s="63"/>
      <c r="Q37" s="63"/>
    </row>
    <row r="38" spans="1:17" ht="89" customHeight="1" x14ac:dyDescent="0.35">
      <c r="A38" s="244" t="s">
        <v>139</v>
      </c>
      <c r="B38" s="244"/>
      <c r="C38" s="244"/>
      <c r="D38" s="244"/>
      <c r="E38" s="244"/>
      <c r="F38" s="244"/>
      <c r="G38" s="244"/>
      <c r="H38" s="244"/>
      <c r="I38" s="244"/>
      <c r="J38" s="244"/>
      <c r="K38" s="244"/>
      <c r="L38" s="244"/>
      <c r="M38" s="244"/>
      <c r="N38" s="244"/>
      <c r="O38" s="63"/>
      <c r="P38" s="63"/>
      <c r="Q38" s="63"/>
    </row>
    <row r="39" spans="1:17" ht="29" customHeight="1" x14ac:dyDescent="0.35">
      <c r="A39" s="244" t="s">
        <v>140</v>
      </c>
      <c r="B39" s="244"/>
      <c r="C39" s="244"/>
      <c r="D39" s="244"/>
      <c r="E39" s="244"/>
      <c r="F39" s="244"/>
      <c r="G39" s="244"/>
      <c r="H39" s="244"/>
      <c r="I39" s="244"/>
      <c r="J39" s="244"/>
      <c r="K39" s="244"/>
      <c r="L39" s="244"/>
      <c r="M39" s="244"/>
      <c r="N39" s="244"/>
      <c r="O39" s="63"/>
      <c r="P39" s="63"/>
      <c r="Q39" s="63"/>
    </row>
    <row r="40" spans="1:17" ht="78.5" customHeight="1" x14ac:dyDescent="0.35">
      <c r="A40" s="238" t="s">
        <v>217</v>
      </c>
      <c r="B40" s="238"/>
      <c r="C40" s="238"/>
      <c r="D40" s="238"/>
      <c r="E40" s="238"/>
      <c r="F40" s="238"/>
      <c r="G40" s="238"/>
      <c r="H40" s="238"/>
      <c r="I40" s="238"/>
      <c r="J40" s="238"/>
      <c r="K40" s="238"/>
      <c r="L40" s="238"/>
      <c r="M40" s="238"/>
      <c r="N40" s="238"/>
      <c r="O40" s="63"/>
      <c r="P40" s="63"/>
      <c r="Q40" s="63"/>
    </row>
    <row r="41" spans="1:17" x14ac:dyDescent="0.35">
      <c r="A41" s="93"/>
      <c r="B41" s="65"/>
      <c r="C41" s="65"/>
      <c r="D41" s="65"/>
      <c r="E41" s="65"/>
      <c r="F41" s="65"/>
      <c r="G41" s="65"/>
      <c r="H41" s="65"/>
      <c r="I41" s="65"/>
      <c r="J41" s="65"/>
      <c r="K41" s="65"/>
      <c r="L41" s="92"/>
      <c r="M41" s="63"/>
      <c r="N41" s="63"/>
      <c r="O41" s="63"/>
      <c r="P41" s="63"/>
      <c r="Q41" s="63"/>
    </row>
    <row r="42" spans="1:17" x14ac:dyDescent="0.35">
      <c r="A42" s="95" t="s">
        <v>141</v>
      </c>
      <c r="B42" s="96"/>
      <c r="C42" s="96"/>
      <c r="D42" s="96"/>
      <c r="E42" s="96"/>
      <c r="F42" s="96"/>
      <c r="G42" s="96"/>
      <c r="H42" s="96"/>
      <c r="I42" s="96"/>
      <c r="J42" s="96"/>
      <c r="K42" s="96"/>
      <c r="L42" s="96"/>
      <c r="M42" s="96"/>
      <c r="N42" s="63"/>
      <c r="O42" s="63"/>
      <c r="P42" s="63"/>
      <c r="Q42" s="63"/>
    </row>
    <row r="43" spans="1:17" x14ac:dyDescent="0.35">
      <c r="A43" s="248" t="s">
        <v>142</v>
      </c>
      <c r="B43" s="249"/>
      <c r="C43" s="250"/>
      <c r="D43" s="97">
        <f>64*198</f>
        <v>12672</v>
      </c>
      <c r="E43" s="96"/>
      <c r="F43" s="96"/>
      <c r="G43" s="96"/>
      <c r="H43" s="96"/>
      <c r="I43" s="96"/>
      <c r="J43" s="96"/>
      <c r="K43" s="96"/>
      <c r="L43" s="96"/>
      <c r="M43" s="96"/>
      <c r="N43" s="63"/>
      <c r="O43" s="63"/>
      <c r="P43" s="63"/>
      <c r="Q43" s="63"/>
    </row>
    <row r="44" spans="1:17" x14ac:dyDescent="0.35">
      <c r="A44" s="248" t="s">
        <v>143</v>
      </c>
      <c r="B44" s="249"/>
      <c r="C44" s="250"/>
      <c r="D44" s="97">
        <f>ROUND(15*79.1,0)</f>
        <v>1187</v>
      </c>
      <c r="E44" s="96"/>
      <c r="F44" s="96"/>
      <c r="G44" s="96"/>
      <c r="H44" s="96"/>
      <c r="I44" s="96"/>
      <c r="J44" s="96"/>
      <c r="K44" s="96"/>
      <c r="L44" s="96"/>
      <c r="M44" s="96"/>
      <c r="N44" s="63"/>
      <c r="O44" s="63"/>
      <c r="P44" s="63"/>
      <c r="Q44" s="63"/>
    </row>
    <row r="45" spans="1:17" x14ac:dyDescent="0.35">
      <c r="A45" s="248" t="s">
        <v>144</v>
      </c>
      <c r="B45" s="249"/>
      <c r="C45" s="250"/>
      <c r="D45" s="97">
        <f>ROUND(8*79.1,0)</f>
        <v>633</v>
      </c>
      <c r="E45" s="96"/>
      <c r="F45" s="96"/>
      <c r="G45" s="96"/>
      <c r="H45" s="96"/>
      <c r="I45" s="96"/>
      <c r="J45" s="96"/>
      <c r="K45" s="96"/>
      <c r="L45" s="96"/>
      <c r="M45" s="96"/>
      <c r="N45" s="63"/>
      <c r="O45" s="63"/>
      <c r="P45" s="63"/>
      <c r="Q45" s="63"/>
    </row>
    <row r="46" spans="1:17" x14ac:dyDescent="0.35">
      <c r="A46" s="248" t="s">
        <v>145</v>
      </c>
      <c r="B46" s="249"/>
      <c r="C46" s="250"/>
      <c r="D46" s="97">
        <f>480*6</f>
        <v>2880</v>
      </c>
      <c r="E46" s="96"/>
      <c r="F46" s="96"/>
      <c r="G46" s="96"/>
      <c r="H46" s="96"/>
      <c r="I46" s="96"/>
      <c r="J46" s="96"/>
      <c r="K46" s="96"/>
      <c r="L46" s="96"/>
      <c r="M46" s="96"/>
      <c r="N46" s="63"/>
      <c r="O46" s="63"/>
      <c r="P46" s="63"/>
      <c r="Q46" s="63"/>
    </row>
    <row r="47" spans="1:17" x14ac:dyDescent="0.35">
      <c r="A47" s="96"/>
      <c r="B47" s="96"/>
      <c r="C47" s="98" t="s">
        <v>137</v>
      </c>
      <c r="D47" s="99">
        <f>SUM(D43:D46)</f>
        <v>17372</v>
      </c>
      <c r="E47" s="96"/>
      <c r="F47" s="96"/>
      <c r="G47" s="96"/>
      <c r="H47" s="96"/>
      <c r="I47" s="96"/>
      <c r="J47" s="96"/>
      <c r="K47" s="96"/>
      <c r="L47" s="96"/>
      <c r="M47" s="96"/>
      <c r="N47" s="63"/>
      <c r="O47" s="63"/>
      <c r="P47" s="63"/>
      <c r="Q47" s="63"/>
    </row>
    <row r="48" spans="1:17" x14ac:dyDescent="0.35">
      <c r="A48" s="95"/>
      <c r="B48" s="96"/>
      <c r="C48" s="96"/>
      <c r="D48" s="96"/>
      <c r="E48" s="96"/>
      <c r="F48" s="96"/>
      <c r="G48" s="96"/>
      <c r="H48" s="96"/>
      <c r="I48" s="96"/>
      <c r="J48" s="96"/>
      <c r="K48" s="96"/>
      <c r="L48" s="96"/>
      <c r="M48" s="96"/>
      <c r="N48" s="63"/>
      <c r="O48" s="63"/>
      <c r="P48" s="63"/>
      <c r="Q48" s="63"/>
    </row>
    <row r="49" spans="1:17" ht="74" customHeight="1" x14ac:dyDescent="0.35">
      <c r="A49" s="238" t="s">
        <v>146</v>
      </c>
      <c r="B49" s="238"/>
      <c r="C49" s="238"/>
      <c r="D49" s="238"/>
      <c r="E49" s="238"/>
      <c r="F49" s="238"/>
      <c r="G49" s="238"/>
      <c r="H49" s="238"/>
      <c r="I49" s="238"/>
      <c r="J49" s="238"/>
      <c r="K49" s="238"/>
      <c r="L49" s="238"/>
      <c r="M49" s="238"/>
      <c r="N49" s="238"/>
      <c r="O49" s="63"/>
      <c r="P49" s="63"/>
      <c r="Q49" s="63"/>
    </row>
    <row r="50" spans="1:17" x14ac:dyDescent="0.35">
      <c r="A50" s="93"/>
      <c r="B50" s="65"/>
      <c r="C50" s="65"/>
      <c r="D50" s="65"/>
      <c r="E50" s="65"/>
      <c r="F50" s="65"/>
      <c r="G50" s="65"/>
      <c r="H50" s="65"/>
      <c r="I50" s="65"/>
      <c r="J50" s="65"/>
      <c r="K50" s="65"/>
      <c r="L50" s="92"/>
      <c r="M50" s="63"/>
      <c r="N50" s="63"/>
      <c r="O50" s="63"/>
      <c r="P50" s="63"/>
      <c r="Q50" s="63"/>
    </row>
    <row r="51" spans="1:17" x14ac:dyDescent="0.35">
      <c r="A51" s="95" t="s">
        <v>147</v>
      </c>
      <c r="B51" s="100"/>
      <c r="C51" s="100"/>
      <c r="D51" s="100"/>
      <c r="E51" s="100"/>
      <c r="F51" s="100"/>
      <c r="G51" s="100"/>
      <c r="H51" s="100"/>
      <c r="I51" s="100"/>
      <c r="J51" s="100"/>
      <c r="K51" s="96"/>
      <c r="L51" s="96"/>
      <c r="M51" s="96"/>
      <c r="N51" s="63"/>
      <c r="O51" s="63"/>
      <c r="P51" s="63"/>
      <c r="Q51" s="63"/>
    </row>
    <row r="52" spans="1:17" x14ac:dyDescent="0.35">
      <c r="A52" s="63" t="s">
        <v>148</v>
      </c>
      <c r="B52" s="100"/>
      <c r="C52" s="100"/>
      <c r="D52" s="100"/>
      <c r="E52" s="100"/>
      <c r="F52" s="100"/>
      <c r="G52" s="100"/>
      <c r="H52" s="100"/>
      <c r="I52" s="100"/>
      <c r="J52" s="100"/>
      <c r="K52" s="96"/>
      <c r="L52" s="96"/>
      <c r="M52" s="96"/>
      <c r="N52" s="63"/>
      <c r="O52" s="63"/>
      <c r="P52" s="63"/>
      <c r="Q52" s="63"/>
    </row>
    <row r="53" spans="1:17" x14ac:dyDescent="0.35">
      <c r="A53" s="239" t="s">
        <v>218</v>
      </c>
      <c r="B53" s="239"/>
      <c r="C53" s="239"/>
      <c r="D53" s="239"/>
      <c r="E53" s="239"/>
      <c r="F53" s="239"/>
      <c r="G53" s="239"/>
      <c r="H53" s="239"/>
      <c r="I53" s="239"/>
      <c r="J53" s="239"/>
      <c r="K53" s="239"/>
      <c r="L53" s="239"/>
      <c r="M53" s="239"/>
      <c r="N53" s="239"/>
      <c r="O53" s="63"/>
      <c r="P53" s="63"/>
      <c r="Q53" s="63"/>
    </row>
    <row r="54" spans="1:17" x14ac:dyDescent="0.35">
      <c r="A54" s="239" t="s">
        <v>219</v>
      </c>
      <c r="B54" s="239"/>
      <c r="C54" s="239"/>
      <c r="D54" s="239"/>
      <c r="E54" s="239"/>
      <c r="F54" s="239"/>
      <c r="G54" s="239"/>
      <c r="H54" s="239"/>
      <c r="I54" s="239"/>
      <c r="J54" s="239"/>
      <c r="K54" s="96"/>
      <c r="L54" s="96"/>
      <c r="M54" s="96"/>
      <c r="N54" s="63"/>
      <c r="O54" s="63"/>
      <c r="P54" s="63"/>
      <c r="Q54" s="63"/>
    </row>
    <row r="55" spans="1:17" x14ac:dyDescent="0.35">
      <c r="A55" s="239" t="s">
        <v>220</v>
      </c>
      <c r="B55" s="239"/>
      <c r="C55" s="239"/>
      <c r="D55" s="239"/>
      <c r="E55" s="239"/>
      <c r="F55" s="239"/>
      <c r="G55" s="239"/>
      <c r="H55" s="239"/>
      <c r="I55" s="239"/>
      <c r="J55" s="239"/>
      <c r="K55" s="96"/>
      <c r="L55" s="96"/>
      <c r="M55" s="96"/>
      <c r="N55" s="63"/>
      <c r="O55" s="63"/>
      <c r="P55" s="63"/>
      <c r="Q55" s="63"/>
    </row>
    <row r="56" spans="1:17" x14ac:dyDescent="0.35">
      <c r="A56" s="101" t="s">
        <v>149</v>
      </c>
      <c r="B56" s="100"/>
      <c r="C56" s="100"/>
      <c r="D56" s="100"/>
      <c r="E56" s="100"/>
      <c r="F56" s="100"/>
      <c r="G56" s="100"/>
      <c r="H56" s="100"/>
      <c r="I56" s="100"/>
      <c r="J56" s="102"/>
      <c r="K56" s="96"/>
      <c r="L56" s="96"/>
      <c r="M56" s="96"/>
      <c r="N56" s="63"/>
      <c r="O56" s="63"/>
      <c r="P56" s="63"/>
      <c r="Q56" s="63"/>
    </row>
    <row r="57" spans="1:17" x14ac:dyDescent="0.35">
      <c r="A57" s="103"/>
      <c r="B57" s="100"/>
      <c r="C57" s="100"/>
      <c r="D57" s="100"/>
      <c r="E57" s="100"/>
      <c r="F57" s="100"/>
      <c r="G57" s="100"/>
      <c r="H57" s="100"/>
      <c r="I57" s="100"/>
      <c r="J57" s="102"/>
      <c r="K57" s="96"/>
      <c r="L57" s="96"/>
      <c r="M57" s="96"/>
      <c r="N57" s="63"/>
      <c r="O57" s="63"/>
      <c r="P57" s="63"/>
      <c r="Q57" s="63"/>
    </row>
    <row r="58" spans="1:17" x14ac:dyDescent="0.35">
      <c r="A58" s="104" t="s">
        <v>150</v>
      </c>
      <c r="B58" s="105">
        <f>30*73.4</f>
        <v>2202</v>
      </c>
      <c r="C58" s="100"/>
      <c r="D58" s="100"/>
      <c r="E58" s="100"/>
      <c r="F58" s="100"/>
      <c r="G58" s="100"/>
      <c r="H58" s="100"/>
      <c r="I58" s="100"/>
      <c r="J58" s="102"/>
      <c r="K58" s="96"/>
      <c r="L58" s="96"/>
      <c r="M58" s="96"/>
      <c r="N58" s="63"/>
      <c r="O58" s="63"/>
      <c r="P58" s="63"/>
      <c r="Q58" s="63"/>
    </row>
    <row r="59" spans="1:17" x14ac:dyDescent="0.35">
      <c r="A59" s="104" t="s">
        <v>151</v>
      </c>
      <c r="B59" s="105">
        <f>100*30</f>
        <v>3000</v>
      </c>
      <c r="C59" s="100"/>
      <c r="D59" s="100"/>
      <c r="E59" s="100"/>
      <c r="F59" s="100"/>
      <c r="G59" s="100"/>
      <c r="H59" s="100"/>
      <c r="I59" s="100"/>
      <c r="J59" s="102"/>
      <c r="K59" s="96"/>
      <c r="L59" s="96"/>
      <c r="M59" s="96"/>
      <c r="N59" s="63"/>
      <c r="O59" s="63"/>
      <c r="P59" s="63"/>
      <c r="Q59" s="63"/>
    </row>
    <row r="60" spans="1:17" x14ac:dyDescent="0.35">
      <c r="A60" s="104" t="s">
        <v>152</v>
      </c>
      <c r="B60" s="105">
        <f>ROUND(412*6,0)</f>
        <v>2472</v>
      </c>
      <c r="C60" s="100" t="s">
        <v>250</v>
      </c>
      <c r="D60" s="100"/>
      <c r="E60" s="100"/>
      <c r="F60" s="100"/>
      <c r="G60" s="100"/>
      <c r="H60" s="100"/>
      <c r="I60" s="100"/>
      <c r="J60" s="102"/>
      <c r="K60" s="96"/>
      <c r="L60" s="96"/>
      <c r="M60" s="96"/>
      <c r="N60" s="63"/>
      <c r="O60" s="63"/>
      <c r="P60" s="63"/>
      <c r="Q60" s="63"/>
    </row>
    <row r="61" spans="1:17" x14ac:dyDescent="0.35">
      <c r="A61" s="104" t="s">
        <v>153</v>
      </c>
      <c r="B61" s="105">
        <f>560*15</f>
        <v>8400</v>
      </c>
      <c r="C61" s="100"/>
      <c r="D61" s="100"/>
      <c r="E61" s="100"/>
      <c r="F61" s="100"/>
      <c r="G61" s="100"/>
      <c r="H61" s="100"/>
      <c r="I61" s="100"/>
      <c r="J61" s="102"/>
      <c r="K61" s="96"/>
      <c r="L61" s="96"/>
      <c r="M61" s="96"/>
      <c r="N61" s="63"/>
      <c r="O61" s="63"/>
      <c r="P61" s="63"/>
      <c r="Q61" s="63"/>
    </row>
    <row r="62" spans="1:17" x14ac:dyDescent="0.35">
      <c r="A62" s="106" t="s">
        <v>137</v>
      </c>
      <c r="B62" s="99">
        <f>SUM(B58:B61)</f>
        <v>16074</v>
      </c>
      <c r="C62" s="100"/>
      <c r="D62" s="100"/>
      <c r="E62" s="100"/>
      <c r="F62" s="107"/>
      <c r="G62" s="100"/>
      <c r="H62" s="100"/>
      <c r="I62" s="100"/>
      <c r="J62" s="100"/>
      <c r="K62" s="96"/>
      <c r="L62" s="96"/>
      <c r="M62" s="96"/>
      <c r="N62" s="63"/>
      <c r="O62" s="63"/>
      <c r="P62" s="63"/>
      <c r="Q62" s="63"/>
    </row>
    <row r="63" spans="1:17" x14ac:dyDescent="0.35">
      <c r="A63" s="238" t="s">
        <v>154</v>
      </c>
      <c r="B63" s="238"/>
      <c r="C63" s="238"/>
      <c r="D63" s="238"/>
      <c r="E63" s="238"/>
      <c r="F63" s="238"/>
      <c r="G63" s="238"/>
      <c r="H63" s="238"/>
      <c r="I63" s="238"/>
      <c r="J63" s="238"/>
      <c r="K63" s="238"/>
      <c r="L63" s="238"/>
      <c r="M63" s="238"/>
      <c r="N63" s="238"/>
      <c r="O63" s="63"/>
      <c r="P63" s="63"/>
      <c r="Q63" s="63"/>
    </row>
    <row r="64" spans="1:17" x14ac:dyDescent="0.35">
      <c r="A64" s="106"/>
      <c r="B64" s="108"/>
      <c r="C64" s="100"/>
      <c r="D64" s="100"/>
      <c r="E64" s="100"/>
      <c r="F64" s="107"/>
      <c r="G64" s="100"/>
      <c r="H64" s="100"/>
      <c r="I64" s="100"/>
      <c r="J64" s="100"/>
      <c r="K64" s="96"/>
      <c r="L64" s="96"/>
      <c r="M64" s="96"/>
      <c r="N64" s="63"/>
      <c r="O64" s="63"/>
      <c r="P64" s="63"/>
      <c r="Q64" s="63"/>
    </row>
    <row r="65" spans="1:17" x14ac:dyDescent="0.35">
      <c r="A65" s="109" t="s">
        <v>155</v>
      </c>
      <c r="B65" s="66"/>
      <c r="C65" s="66"/>
      <c r="D65" s="46"/>
      <c r="E65" s="46"/>
      <c r="F65" s="46"/>
      <c r="G65" s="46"/>
      <c r="H65" s="46"/>
      <c r="I65" s="46"/>
      <c r="J65" s="46"/>
      <c r="K65" s="46"/>
      <c r="L65" s="46"/>
      <c r="M65" s="46"/>
      <c r="N65" s="46"/>
      <c r="O65" s="46"/>
      <c r="P65" s="46"/>
      <c r="Q65" s="46"/>
    </row>
    <row r="66" spans="1:17" ht="14.5" customHeight="1" x14ac:dyDescent="0.35">
      <c r="A66" s="247" t="s">
        <v>156</v>
      </c>
      <c r="B66" s="247"/>
      <c r="C66" s="66"/>
      <c r="D66" s="46"/>
      <c r="E66" s="46"/>
      <c r="F66" s="46"/>
      <c r="G66" s="46"/>
      <c r="H66" s="46"/>
      <c r="I66" s="46"/>
      <c r="J66" s="46"/>
      <c r="K66" s="46"/>
      <c r="L66" s="46"/>
      <c r="M66" s="46"/>
      <c r="N66" s="46"/>
      <c r="O66" s="46"/>
      <c r="P66" s="46"/>
      <c r="Q66" s="46"/>
    </row>
    <row r="67" spans="1:17" ht="84" x14ac:dyDescent="0.35">
      <c r="A67" s="147" t="s">
        <v>157</v>
      </c>
      <c r="B67" s="148" t="s">
        <v>158</v>
      </c>
      <c r="C67" s="149" t="s">
        <v>159</v>
      </c>
      <c r="D67" s="112" t="s">
        <v>160</v>
      </c>
      <c r="E67" s="112" t="s">
        <v>161</v>
      </c>
      <c r="F67" s="46"/>
      <c r="G67" s="46"/>
      <c r="H67" s="46"/>
      <c r="I67" s="46"/>
      <c r="J67" s="46"/>
      <c r="K67" s="46"/>
      <c r="L67" s="46"/>
      <c r="M67" s="46"/>
      <c r="N67" s="46"/>
      <c r="O67" s="46"/>
      <c r="P67" s="46"/>
      <c r="Q67" s="46"/>
    </row>
    <row r="68" spans="1:17" x14ac:dyDescent="0.35">
      <c r="A68" s="115">
        <v>2027</v>
      </c>
      <c r="B68" s="116">
        <v>3000</v>
      </c>
      <c r="C68" s="116">
        <v>2000</v>
      </c>
      <c r="D68" s="116">
        <f>3*500</f>
        <v>1500</v>
      </c>
      <c r="E68" s="116">
        <f>SUM(C68:D68:B68)</f>
        <v>6500</v>
      </c>
      <c r="F68" s="46"/>
      <c r="G68" s="46"/>
      <c r="H68" s="46"/>
      <c r="I68" s="46"/>
      <c r="J68" s="46"/>
      <c r="K68" s="46"/>
      <c r="L68" s="46"/>
      <c r="M68" s="46"/>
      <c r="N68" s="46"/>
      <c r="O68" s="157"/>
      <c r="P68" s="157"/>
      <c r="Q68" s="157"/>
    </row>
    <row r="69" spans="1:17" x14ac:dyDescent="0.35">
      <c r="A69" s="115">
        <v>2028</v>
      </c>
      <c r="B69" s="116"/>
      <c r="C69" s="116"/>
      <c r="D69" s="116">
        <f>3*500</f>
        <v>1500</v>
      </c>
      <c r="E69" s="116">
        <f>SUM(C69:D69:B69)</f>
        <v>1500</v>
      </c>
      <c r="F69" s="46"/>
      <c r="G69" s="46"/>
      <c r="H69" s="46"/>
      <c r="I69" s="46"/>
      <c r="J69" s="46"/>
      <c r="K69" s="46"/>
      <c r="L69" s="46"/>
      <c r="M69" s="46"/>
      <c r="N69" s="46"/>
      <c r="O69" s="157"/>
      <c r="P69" s="157"/>
      <c r="Q69" s="157"/>
    </row>
    <row r="70" spans="1:17" x14ac:dyDescent="0.35">
      <c r="A70" s="46"/>
      <c r="B70" s="46"/>
      <c r="C70" s="46"/>
      <c r="D70" s="46"/>
      <c r="E70" s="46"/>
      <c r="F70" s="46"/>
      <c r="G70" s="46"/>
      <c r="H70" s="46"/>
      <c r="I70" s="46"/>
      <c r="J70" s="46"/>
      <c r="K70" s="46"/>
      <c r="L70" s="46"/>
      <c r="M70" s="46"/>
      <c r="N70" s="46"/>
      <c r="O70" s="157"/>
      <c r="P70" s="157"/>
      <c r="Q70" s="157"/>
    </row>
    <row r="71" spans="1:17" ht="136" customHeight="1" x14ac:dyDescent="0.35">
      <c r="A71" s="260" t="s">
        <v>255</v>
      </c>
      <c r="B71" s="260"/>
      <c r="C71" s="260"/>
      <c r="D71" s="260"/>
      <c r="E71" s="260"/>
      <c r="F71" s="260"/>
      <c r="G71" s="260"/>
      <c r="H71" s="260"/>
      <c r="I71" s="46"/>
      <c r="J71" s="46"/>
      <c r="K71" s="46"/>
      <c r="L71" s="46"/>
      <c r="M71" s="46"/>
      <c r="N71" s="46"/>
      <c r="O71" s="157"/>
      <c r="P71" s="157"/>
      <c r="Q71" s="157"/>
    </row>
    <row r="72" spans="1:17" x14ac:dyDescent="0.35">
      <c r="A72" s="106"/>
      <c r="B72" s="117"/>
      <c r="C72" s="100"/>
      <c r="D72" s="100"/>
      <c r="E72" s="100"/>
      <c r="F72" s="100"/>
      <c r="G72" s="100"/>
      <c r="H72" s="100"/>
      <c r="I72" s="100"/>
      <c r="J72" s="100"/>
      <c r="K72" s="96"/>
      <c r="L72" s="96"/>
      <c r="M72" s="96"/>
      <c r="N72" s="63"/>
      <c r="O72" s="157"/>
      <c r="P72" s="157"/>
      <c r="Q72" s="157"/>
    </row>
    <row r="73" spans="1:17" x14ac:dyDescent="0.35">
      <c r="A73" s="66" t="s">
        <v>162</v>
      </c>
      <c r="B73" s="63"/>
      <c r="C73" s="63"/>
      <c r="D73" s="63"/>
      <c r="E73" s="63"/>
      <c r="F73" s="63"/>
      <c r="G73" s="63"/>
      <c r="H73" s="63"/>
      <c r="I73" s="63"/>
      <c r="J73" s="63"/>
      <c r="K73" s="63"/>
      <c r="L73" s="63"/>
      <c r="M73" s="63"/>
      <c r="N73" s="63"/>
      <c r="O73" s="157"/>
      <c r="P73" s="157"/>
      <c r="Q73" s="157"/>
    </row>
    <row r="74" spans="1:17" ht="28" x14ac:dyDescent="0.35">
      <c r="A74" s="63"/>
      <c r="B74" s="63"/>
      <c r="C74" s="63"/>
      <c r="D74" s="63"/>
      <c r="E74" s="112" t="s">
        <v>163</v>
      </c>
      <c r="F74" s="112" t="s">
        <v>164</v>
      </c>
      <c r="G74" s="63"/>
      <c r="H74" s="63"/>
      <c r="I74" s="63"/>
      <c r="J74" s="63"/>
      <c r="K74" s="63"/>
      <c r="L74" s="63"/>
      <c r="M74" s="63"/>
      <c r="N74" s="63"/>
      <c r="O74" s="157"/>
      <c r="P74" s="157"/>
      <c r="Q74" s="157"/>
    </row>
    <row r="75" spans="1:17" x14ac:dyDescent="0.35">
      <c r="A75" s="119">
        <v>1</v>
      </c>
      <c r="B75" s="245" t="s">
        <v>165</v>
      </c>
      <c r="C75" s="245"/>
      <c r="D75" s="120">
        <v>12000</v>
      </c>
      <c r="E75" s="114">
        <f>D75*0.21</f>
        <v>2520</v>
      </c>
      <c r="F75" s="114">
        <f>E75+D75</f>
        <v>14520</v>
      </c>
      <c r="G75" s="63"/>
      <c r="H75" s="63"/>
      <c r="I75" s="63"/>
      <c r="J75" s="63"/>
      <c r="K75" s="63"/>
      <c r="L75" s="63"/>
      <c r="M75" s="63"/>
      <c r="N75" s="63"/>
      <c r="O75" s="157"/>
      <c r="P75" s="157"/>
      <c r="Q75" s="157"/>
    </row>
    <row r="76" spans="1:17" x14ac:dyDescent="0.35">
      <c r="A76" s="119">
        <v>2</v>
      </c>
      <c r="B76" s="245" t="s">
        <v>166</v>
      </c>
      <c r="C76" s="245"/>
      <c r="D76" s="120">
        <v>15000</v>
      </c>
      <c r="E76" s="114">
        <f t="shared" ref="E76:E80" si="11">D76*0.21</f>
        <v>3150</v>
      </c>
      <c r="F76" s="114">
        <f t="shared" ref="F76:F80" si="12">E76+D76</f>
        <v>18150</v>
      </c>
      <c r="G76" s="63"/>
      <c r="H76" s="63"/>
      <c r="I76" s="63"/>
      <c r="J76" s="63"/>
      <c r="K76" s="63"/>
      <c r="L76" s="63"/>
      <c r="M76" s="63"/>
      <c r="N76" s="63"/>
      <c r="O76" s="157"/>
      <c r="P76" s="157"/>
      <c r="Q76" s="157"/>
    </row>
    <row r="77" spans="1:17" x14ac:dyDescent="0.35">
      <c r="A77" s="119">
        <v>3</v>
      </c>
      <c r="B77" s="245" t="s">
        <v>167</v>
      </c>
      <c r="C77" s="245"/>
      <c r="D77" s="120">
        <v>3000</v>
      </c>
      <c r="E77" s="114">
        <f t="shared" si="11"/>
        <v>630</v>
      </c>
      <c r="F77" s="114">
        <f t="shared" si="12"/>
        <v>3630</v>
      </c>
      <c r="G77" s="63"/>
      <c r="H77" s="63"/>
      <c r="I77" s="63"/>
      <c r="J77" s="63"/>
      <c r="K77" s="63"/>
      <c r="L77" s="63"/>
      <c r="M77" s="63"/>
      <c r="N77" s="63"/>
      <c r="O77" s="157"/>
      <c r="P77" s="157"/>
      <c r="Q77" s="157"/>
    </row>
    <row r="78" spans="1:17" x14ac:dyDescent="0.35">
      <c r="A78" s="119">
        <v>4</v>
      </c>
      <c r="B78" s="245" t="s">
        <v>168</v>
      </c>
      <c r="C78" s="245"/>
      <c r="D78" s="120">
        <v>8000</v>
      </c>
      <c r="E78" s="114">
        <f t="shared" si="11"/>
        <v>1680</v>
      </c>
      <c r="F78" s="114">
        <f t="shared" si="12"/>
        <v>9680</v>
      </c>
      <c r="G78" s="63"/>
      <c r="H78" s="63"/>
      <c r="I78" s="63"/>
      <c r="J78" s="63"/>
      <c r="K78" s="63"/>
      <c r="L78" s="63"/>
      <c r="M78" s="63"/>
      <c r="N78" s="63"/>
      <c r="O78" s="157"/>
      <c r="P78" s="157"/>
      <c r="Q78" s="157"/>
    </row>
    <row r="79" spans="1:17" x14ac:dyDescent="0.35">
      <c r="A79" s="119">
        <v>5</v>
      </c>
      <c r="B79" s="245" t="s">
        <v>169</v>
      </c>
      <c r="C79" s="245"/>
      <c r="D79" s="120">
        <v>3000</v>
      </c>
      <c r="E79" s="114">
        <f t="shared" si="11"/>
        <v>630</v>
      </c>
      <c r="F79" s="114">
        <f t="shared" si="12"/>
        <v>3630</v>
      </c>
      <c r="G79" s="63"/>
      <c r="H79" s="63"/>
      <c r="I79" s="63"/>
      <c r="J79" s="63"/>
      <c r="K79" s="63"/>
      <c r="L79" s="63"/>
      <c r="M79" s="63"/>
      <c r="N79" s="63"/>
      <c r="O79" s="157"/>
      <c r="P79" s="157"/>
      <c r="Q79" s="157"/>
    </row>
    <row r="80" spans="1:17" x14ac:dyDescent="0.35">
      <c r="A80" s="119">
        <v>6</v>
      </c>
      <c r="B80" s="245" t="s">
        <v>170</v>
      </c>
      <c r="C80" s="245"/>
      <c r="D80" s="120">
        <v>25000</v>
      </c>
      <c r="E80" s="114">
        <f t="shared" si="11"/>
        <v>5250</v>
      </c>
      <c r="F80" s="114">
        <f t="shared" si="12"/>
        <v>30250</v>
      </c>
      <c r="G80" s="63"/>
      <c r="H80" s="63"/>
      <c r="I80" s="63"/>
      <c r="J80" s="63"/>
      <c r="K80" s="63"/>
      <c r="L80" s="63"/>
      <c r="M80" s="63"/>
      <c r="N80" s="63"/>
      <c r="O80" s="157"/>
      <c r="P80" s="157"/>
      <c r="Q80" s="157"/>
    </row>
    <row r="81" spans="1:17" x14ac:dyDescent="0.35">
      <c r="A81" s="111"/>
      <c r="B81" s="254" t="s">
        <v>130</v>
      </c>
      <c r="C81" s="254"/>
      <c r="D81" s="114">
        <f>SUM(D75:D80)</f>
        <v>66000</v>
      </c>
      <c r="E81" s="114">
        <f>SUM(E75:E80)</f>
        <v>13860</v>
      </c>
      <c r="F81" s="91">
        <f>SUM(F75:F80)</f>
        <v>79860</v>
      </c>
      <c r="G81" s="63"/>
      <c r="H81" s="63"/>
      <c r="I81" s="63"/>
      <c r="J81" s="63"/>
      <c r="K81" s="63"/>
      <c r="L81" s="63"/>
      <c r="M81" s="63"/>
      <c r="N81" s="63"/>
      <c r="O81" s="157"/>
      <c r="P81" s="157"/>
      <c r="Q81" s="157"/>
    </row>
    <row r="82" spans="1:17" x14ac:dyDescent="0.35">
      <c r="A82" s="244" t="s">
        <v>171</v>
      </c>
      <c r="B82" s="244"/>
      <c r="C82" s="244"/>
      <c r="D82" s="244"/>
      <c r="E82" s="244"/>
      <c r="F82" s="244"/>
      <c r="G82" s="158"/>
      <c r="H82" s="158"/>
      <c r="I82" s="65"/>
      <c r="J82" s="63"/>
      <c r="K82" s="65"/>
      <c r="L82" s="63"/>
      <c r="M82" s="63"/>
      <c r="N82" s="63"/>
      <c r="O82" s="157"/>
      <c r="P82" s="157"/>
      <c r="Q82" s="157"/>
    </row>
    <row r="83" spans="1:17" x14ac:dyDescent="0.35">
      <c r="A83" s="92"/>
      <c r="B83" s="92"/>
      <c r="C83" s="92"/>
      <c r="D83" s="92"/>
      <c r="E83" s="92"/>
      <c r="F83" s="92"/>
      <c r="G83" s="92"/>
      <c r="H83" s="92"/>
      <c r="I83" s="92"/>
      <c r="J83" s="92"/>
      <c r="K83" s="92"/>
      <c r="L83" s="92"/>
      <c r="M83" s="63"/>
      <c r="N83" s="63"/>
      <c r="O83" s="157"/>
      <c r="P83" s="157"/>
      <c r="Q83" s="157"/>
    </row>
    <row r="84" spans="1:17" ht="14.5" customHeight="1" x14ac:dyDescent="0.35">
      <c r="A84" s="257" t="s">
        <v>221</v>
      </c>
      <c r="B84" s="257"/>
      <c r="C84" s="257"/>
      <c r="D84" s="63"/>
      <c r="E84" s="63"/>
      <c r="F84" s="63"/>
      <c r="G84" s="63"/>
      <c r="H84" s="63"/>
      <c r="I84" s="63"/>
      <c r="J84" s="63"/>
      <c r="K84" s="63"/>
      <c r="L84" s="63"/>
      <c r="M84" s="63"/>
      <c r="N84" s="63"/>
      <c r="O84" s="157"/>
      <c r="P84" s="157"/>
      <c r="Q84" s="157"/>
    </row>
    <row r="85" spans="1:17" ht="112" x14ac:dyDescent="0.35">
      <c r="A85" s="67" t="s">
        <v>102</v>
      </c>
      <c r="B85" s="67" t="s">
        <v>103</v>
      </c>
      <c r="C85" s="152" t="s">
        <v>104</v>
      </c>
      <c r="D85" s="67" t="s">
        <v>105</v>
      </c>
      <c r="E85" s="67" t="s">
        <v>106</v>
      </c>
      <c r="F85" s="153" t="s">
        <v>107</v>
      </c>
      <c r="G85" s="153" t="s">
        <v>108</v>
      </c>
      <c r="H85" s="153" t="s">
        <v>109</v>
      </c>
      <c r="I85" s="153" t="s">
        <v>110</v>
      </c>
      <c r="J85" s="153" t="s">
        <v>111</v>
      </c>
      <c r="K85" s="153" t="s">
        <v>112</v>
      </c>
      <c r="L85" s="153" t="s">
        <v>113</v>
      </c>
      <c r="M85" s="153" t="s">
        <v>114</v>
      </c>
      <c r="N85" s="154" t="s">
        <v>172</v>
      </c>
      <c r="O85" s="157"/>
      <c r="P85" s="157"/>
      <c r="Q85" s="157"/>
    </row>
    <row r="86" spans="1:17" ht="42" x14ac:dyDescent="0.35">
      <c r="A86" s="76">
        <v>1</v>
      </c>
      <c r="B86" s="76">
        <v>2</v>
      </c>
      <c r="C86" s="76">
        <v>3</v>
      </c>
      <c r="D86" s="76">
        <v>4</v>
      </c>
      <c r="E86" s="76">
        <v>5</v>
      </c>
      <c r="F86" s="71">
        <v>6</v>
      </c>
      <c r="G86" s="71">
        <v>7</v>
      </c>
      <c r="H86" s="71" t="s">
        <v>173</v>
      </c>
      <c r="I86" s="71" t="s">
        <v>117</v>
      </c>
      <c r="J86" s="71" t="s">
        <v>118</v>
      </c>
      <c r="K86" s="71" t="s">
        <v>119</v>
      </c>
      <c r="L86" s="71" t="s">
        <v>120</v>
      </c>
      <c r="M86" s="71">
        <v>13</v>
      </c>
      <c r="N86" s="71" t="s">
        <v>121</v>
      </c>
      <c r="O86" s="157"/>
      <c r="P86" s="157"/>
      <c r="Q86" s="157"/>
    </row>
    <row r="87" spans="1:17" ht="28" x14ac:dyDescent="0.35">
      <c r="A87" s="68" t="s">
        <v>122</v>
      </c>
      <c r="B87" s="67">
        <v>2</v>
      </c>
      <c r="C87" s="69" t="s">
        <v>123</v>
      </c>
      <c r="D87" s="70" t="s">
        <v>124</v>
      </c>
      <c r="E87" s="71">
        <v>9</v>
      </c>
      <c r="F87" s="72">
        <v>2077</v>
      </c>
      <c r="G87" s="73">
        <f>F87*B87</f>
        <v>4154</v>
      </c>
      <c r="H87" s="73">
        <f>G87*12</f>
        <v>49848</v>
      </c>
      <c r="I87" s="73">
        <f>H87*10%</f>
        <v>4984.8</v>
      </c>
      <c r="J87" s="73">
        <f>H87*5%</f>
        <v>2492.4</v>
      </c>
      <c r="K87" s="73">
        <f>H87*5%</f>
        <v>2492.4</v>
      </c>
      <c r="L87" s="73">
        <f>(H87+I87+J87+K87)*23.59%</f>
        <v>14110.971840000002</v>
      </c>
      <c r="M87" s="74">
        <f>426.86*2</f>
        <v>853.72</v>
      </c>
      <c r="N87" s="73">
        <f>ROUNDUP(H87+I87+J87+K87+L87+M87,0)</f>
        <v>74783</v>
      </c>
      <c r="O87" s="157"/>
      <c r="P87" s="157"/>
      <c r="Q87" s="157"/>
    </row>
    <row r="88" spans="1:17" ht="42" x14ac:dyDescent="0.35">
      <c r="A88" s="68" t="s">
        <v>125</v>
      </c>
      <c r="B88" s="67">
        <v>1</v>
      </c>
      <c r="C88" s="75" t="s">
        <v>126</v>
      </c>
      <c r="D88" s="76" t="s">
        <v>127</v>
      </c>
      <c r="E88" s="76">
        <v>9</v>
      </c>
      <c r="F88" s="77">
        <v>2077</v>
      </c>
      <c r="G88" s="71">
        <f t="shared" ref="G88:G89" si="13">F88*B88</f>
        <v>2077</v>
      </c>
      <c r="H88" s="73">
        <f t="shared" ref="H88:H89" si="14">G88*12</f>
        <v>24924</v>
      </c>
      <c r="I88" s="73">
        <f t="shared" ref="I88:I89" si="15">H88*10%</f>
        <v>2492.4</v>
      </c>
      <c r="J88" s="73">
        <f t="shared" ref="J88:J89" si="16">H88*5%</f>
        <v>1246.2</v>
      </c>
      <c r="K88" s="73">
        <f t="shared" ref="K88:K89" si="17">H88*5%</f>
        <v>1246.2</v>
      </c>
      <c r="L88" s="73">
        <f t="shared" ref="L88:L89" si="18">(H88+I88+J88+K88)*23.59%</f>
        <v>7055.485920000001</v>
      </c>
      <c r="M88" s="74">
        <f>426.86</f>
        <v>426.86</v>
      </c>
      <c r="N88" s="73">
        <f t="shared" ref="N88:N89" si="19">ROUNDUP(H88+I88+J88+K88+L88+M88,0)</f>
        <v>37392</v>
      </c>
      <c r="O88" s="157"/>
      <c r="P88" s="157"/>
      <c r="Q88" s="157"/>
    </row>
    <row r="89" spans="1:17" ht="28" x14ac:dyDescent="0.35">
      <c r="A89" s="78" t="s">
        <v>128</v>
      </c>
      <c r="B89" s="67">
        <v>0.3</v>
      </c>
      <c r="C89" s="75" t="s">
        <v>129</v>
      </c>
      <c r="D89" s="76" t="s">
        <v>124</v>
      </c>
      <c r="E89" s="76">
        <v>10</v>
      </c>
      <c r="F89" s="79">
        <v>2511</v>
      </c>
      <c r="G89" s="71">
        <f t="shared" si="13"/>
        <v>753.3</v>
      </c>
      <c r="H89" s="73">
        <f t="shared" si="14"/>
        <v>9039.5999999999985</v>
      </c>
      <c r="I89" s="73">
        <f t="shared" si="15"/>
        <v>903.95999999999992</v>
      </c>
      <c r="J89" s="73">
        <f t="shared" si="16"/>
        <v>451.97999999999996</v>
      </c>
      <c r="K89" s="73">
        <f t="shared" si="17"/>
        <v>451.97999999999996</v>
      </c>
      <c r="L89" s="73">
        <f t="shared" si="18"/>
        <v>2558.929967999999</v>
      </c>
      <c r="M89" s="74">
        <f>426.86</f>
        <v>426.86</v>
      </c>
      <c r="N89" s="73">
        <f t="shared" si="19"/>
        <v>13834</v>
      </c>
      <c r="O89" s="157"/>
      <c r="P89" s="157"/>
      <c r="Q89" s="157"/>
    </row>
    <row r="90" spans="1:17" x14ac:dyDescent="0.35">
      <c r="A90" s="80" t="s">
        <v>130</v>
      </c>
      <c r="B90" s="81">
        <f>SUM(B87:B89)</f>
        <v>3.3</v>
      </c>
      <c r="C90" s="82"/>
      <c r="D90" s="83"/>
      <c r="E90" s="83"/>
      <c r="F90" s="83"/>
      <c r="G90" s="84">
        <f t="shared" ref="G90:N90" si="20">SUM(G87:G89)</f>
        <v>6984.3</v>
      </c>
      <c r="H90" s="84">
        <f t="shared" si="20"/>
        <v>83811.600000000006</v>
      </c>
      <c r="I90" s="84">
        <f t="shared" si="20"/>
        <v>8381.16</v>
      </c>
      <c r="J90" s="84">
        <f t="shared" si="20"/>
        <v>4190.58</v>
      </c>
      <c r="K90" s="84">
        <f t="shared" si="20"/>
        <v>4190.58</v>
      </c>
      <c r="L90" s="84">
        <f t="shared" si="20"/>
        <v>23725.387728000005</v>
      </c>
      <c r="M90" s="84">
        <f t="shared" si="20"/>
        <v>1707.44</v>
      </c>
      <c r="N90" s="84">
        <f t="shared" si="20"/>
        <v>126009</v>
      </c>
      <c r="O90" s="157"/>
      <c r="P90" s="157"/>
      <c r="Q90" s="157"/>
    </row>
    <row r="91" spans="1:17" x14ac:dyDescent="0.35">
      <c r="A91" s="240" t="s">
        <v>174</v>
      </c>
      <c r="B91" s="240"/>
      <c r="C91" s="240"/>
      <c r="D91" s="240"/>
      <c r="E91" s="240"/>
      <c r="F91" s="240"/>
      <c r="G91" s="240"/>
      <c r="H91" s="240"/>
      <c r="I91" s="240"/>
      <c r="J91" s="240"/>
      <c r="K91" s="240"/>
      <c r="L91" s="240"/>
      <c r="M91" s="240"/>
      <c r="N91" s="240"/>
      <c r="O91" s="157"/>
      <c r="P91" s="157"/>
      <c r="Q91" s="157"/>
    </row>
    <row r="92" spans="1:17" x14ac:dyDescent="0.35">
      <c r="A92" s="63"/>
      <c r="B92" s="63"/>
      <c r="C92" s="63"/>
      <c r="D92" s="63"/>
      <c r="E92" s="63"/>
      <c r="F92" s="63"/>
      <c r="G92" s="63"/>
      <c r="H92" s="63"/>
      <c r="I92" s="63"/>
      <c r="J92" s="63"/>
      <c r="K92" s="63"/>
      <c r="L92" s="63"/>
      <c r="M92" s="63"/>
      <c r="N92" s="63"/>
      <c r="O92" s="157"/>
      <c r="P92" s="157"/>
      <c r="Q92" s="157"/>
    </row>
    <row r="93" spans="1:17" x14ac:dyDescent="0.35">
      <c r="A93" s="95" t="s">
        <v>175</v>
      </c>
      <c r="B93" s="95"/>
      <c r="C93" s="63"/>
      <c r="D93" s="63"/>
      <c r="E93" s="63"/>
      <c r="F93" s="63"/>
      <c r="G93" s="63"/>
      <c r="H93" s="63"/>
      <c r="I93" s="63"/>
      <c r="J93" s="63"/>
      <c r="K93" s="63"/>
      <c r="L93" s="63"/>
      <c r="M93" s="63"/>
      <c r="N93" s="63"/>
      <c r="O93" s="157"/>
      <c r="P93" s="157"/>
      <c r="Q93" s="157"/>
    </row>
    <row r="94" spans="1:17" x14ac:dyDescent="0.35">
      <c r="A94" s="87"/>
      <c r="B94" s="87"/>
      <c r="C94" s="87"/>
      <c r="D94" s="87"/>
      <c r="E94" s="87"/>
      <c r="F94" s="87"/>
      <c r="G94" s="87"/>
      <c r="H94" s="87"/>
      <c r="I94" s="87"/>
      <c r="J94" s="87"/>
      <c r="K94" s="87"/>
      <c r="L94" s="87"/>
      <c r="M94" s="63"/>
      <c r="N94" s="63"/>
      <c r="O94" s="157"/>
      <c r="P94" s="157"/>
      <c r="Q94" s="157"/>
    </row>
    <row r="95" spans="1:17" x14ac:dyDescent="0.35">
      <c r="A95" s="234" t="s">
        <v>176</v>
      </c>
      <c r="B95" s="235"/>
      <c r="C95" s="235"/>
      <c r="D95" s="236"/>
      <c r="E95" s="121">
        <f>D107</f>
        <v>34743</v>
      </c>
      <c r="F95" s="90"/>
      <c r="G95" s="89"/>
      <c r="H95" s="89"/>
      <c r="I95" s="89"/>
      <c r="J95" s="89"/>
      <c r="K95" s="89"/>
      <c r="L95" s="89"/>
      <c r="M95" s="63"/>
      <c r="N95" s="63"/>
      <c r="O95" s="157"/>
      <c r="P95" s="157"/>
      <c r="Q95" s="157"/>
    </row>
    <row r="96" spans="1:17" x14ac:dyDescent="0.35">
      <c r="A96" s="234" t="s">
        <v>177</v>
      </c>
      <c r="B96" s="235"/>
      <c r="C96" s="235"/>
      <c r="D96" s="236"/>
      <c r="E96" s="121">
        <f>B122</f>
        <v>32148</v>
      </c>
      <c r="F96" s="89"/>
      <c r="G96" s="89"/>
      <c r="H96" s="89"/>
      <c r="I96" s="89"/>
      <c r="J96" s="89"/>
      <c r="K96" s="89"/>
      <c r="L96" s="89"/>
      <c r="M96" s="63"/>
      <c r="N96" s="63"/>
      <c r="O96" s="157"/>
      <c r="P96" s="157"/>
      <c r="Q96" s="157"/>
    </row>
    <row r="97" spans="1:17" x14ac:dyDescent="0.35">
      <c r="A97" s="251" t="s">
        <v>178</v>
      </c>
      <c r="B97" s="252"/>
      <c r="C97" s="252"/>
      <c r="D97" s="253"/>
      <c r="E97" s="121">
        <f>1920+2400</f>
        <v>4320</v>
      </c>
      <c r="F97" s="89"/>
      <c r="G97" s="89"/>
      <c r="H97" s="89"/>
      <c r="I97" s="89"/>
      <c r="J97" s="89"/>
      <c r="K97" s="89"/>
      <c r="L97" s="89"/>
      <c r="M97" s="63"/>
      <c r="N97" s="63"/>
      <c r="O97" s="157"/>
      <c r="P97" s="157"/>
      <c r="Q97" s="157"/>
    </row>
    <row r="98" spans="1:17" x14ac:dyDescent="0.35">
      <c r="A98" s="241" t="s">
        <v>137</v>
      </c>
      <c r="B98" s="242"/>
      <c r="C98" s="242"/>
      <c r="D98" s="243"/>
      <c r="E98" s="122">
        <f>E95+E96+E97</f>
        <v>71211</v>
      </c>
      <c r="F98" s="92"/>
      <c r="G98" s="92"/>
      <c r="H98" s="92"/>
      <c r="I98" s="92"/>
      <c r="J98" s="92"/>
      <c r="K98" s="92"/>
      <c r="L98" s="92"/>
      <c r="M98" s="63"/>
      <c r="N98" s="63"/>
      <c r="O98" s="157"/>
      <c r="P98" s="157"/>
      <c r="Q98" s="157"/>
    </row>
    <row r="99" spans="1:17" x14ac:dyDescent="0.35">
      <c r="A99" s="93"/>
      <c r="B99" s="93"/>
      <c r="C99" s="93"/>
      <c r="D99" s="93"/>
      <c r="E99" s="123"/>
      <c r="F99" s="92"/>
      <c r="G99" s="92"/>
      <c r="H99" s="92"/>
      <c r="I99" s="92"/>
      <c r="J99" s="92"/>
      <c r="K99" s="92"/>
      <c r="L99" s="92"/>
      <c r="M99" s="63"/>
      <c r="N99" s="63"/>
      <c r="O99" s="157"/>
      <c r="P99" s="157"/>
      <c r="Q99" s="157"/>
    </row>
    <row r="100" spans="1:17" ht="203" customHeight="1" x14ac:dyDescent="0.35">
      <c r="A100" s="238" t="s">
        <v>222</v>
      </c>
      <c r="B100" s="238"/>
      <c r="C100" s="238"/>
      <c r="D100" s="238"/>
      <c r="E100" s="238"/>
      <c r="F100" s="238"/>
      <c r="G100" s="238"/>
      <c r="H100" s="238"/>
      <c r="I100" s="238"/>
      <c r="J100" s="238"/>
      <c r="K100" s="238"/>
      <c r="L100" s="238"/>
      <c r="M100" s="238"/>
      <c r="N100" s="238"/>
      <c r="O100" s="157"/>
      <c r="P100" s="157"/>
      <c r="Q100" s="157"/>
    </row>
    <row r="101" spans="1:17" x14ac:dyDescent="0.35">
      <c r="A101" s="96"/>
      <c r="B101" s="96"/>
      <c r="C101" s="96"/>
      <c r="D101" s="96"/>
      <c r="E101" s="96"/>
      <c r="F101" s="96"/>
      <c r="G101" s="96"/>
      <c r="H101" s="96"/>
      <c r="I101" s="96"/>
      <c r="J101" s="96"/>
      <c r="K101" s="96"/>
      <c r="L101" s="96"/>
      <c r="M101" s="96"/>
      <c r="N101" s="63"/>
      <c r="O101" s="157"/>
      <c r="P101" s="157"/>
      <c r="Q101" s="157"/>
    </row>
    <row r="102" spans="1:17" x14ac:dyDescent="0.35">
      <c r="A102" s="95" t="s">
        <v>179</v>
      </c>
      <c r="B102" s="96"/>
      <c r="C102" s="96"/>
      <c r="D102" s="96"/>
      <c r="E102" s="96"/>
      <c r="F102" s="96"/>
      <c r="G102" s="96"/>
      <c r="H102" s="96"/>
      <c r="I102" s="96"/>
      <c r="J102" s="96"/>
      <c r="K102" s="96"/>
      <c r="L102" s="96"/>
      <c r="M102" s="96"/>
      <c r="N102" s="63"/>
      <c r="O102" s="157"/>
      <c r="P102" s="157"/>
      <c r="Q102" s="157"/>
    </row>
    <row r="103" spans="1:17" x14ac:dyDescent="0.35">
      <c r="A103" s="248" t="s">
        <v>180</v>
      </c>
      <c r="B103" s="249"/>
      <c r="C103" s="250"/>
      <c r="D103" s="97">
        <f>128*198</f>
        <v>25344</v>
      </c>
      <c r="E103" s="96"/>
      <c r="F103" s="96"/>
      <c r="G103" s="96"/>
      <c r="H103" s="96"/>
      <c r="I103" s="96"/>
      <c r="J103" s="96"/>
      <c r="K103" s="96"/>
      <c r="L103" s="96"/>
      <c r="M103" s="96"/>
      <c r="N103" s="63"/>
      <c r="O103" s="157"/>
      <c r="P103" s="157"/>
      <c r="Q103" s="157"/>
    </row>
    <row r="104" spans="1:17" x14ac:dyDescent="0.35">
      <c r="A104" s="248" t="s">
        <v>181</v>
      </c>
      <c r="B104" s="249"/>
      <c r="C104" s="250"/>
      <c r="D104" s="97">
        <f>30*79.1</f>
        <v>2373</v>
      </c>
      <c r="E104" s="96"/>
      <c r="F104" s="96"/>
      <c r="G104" s="96"/>
      <c r="H104" s="96"/>
      <c r="I104" s="96"/>
      <c r="J104" s="96"/>
      <c r="K104" s="96"/>
      <c r="L104" s="96"/>
      <c r="M104" s="96"/>
      <c r="N104" s="63"/>
      <c r="O104" s="157"/>
      <c r="P104" s="157"/>
      <c r="Q104" s="157"/>
    </row>
    <row r="105" spans="1:17" x14ac:dyDescent="0.35">
      <c r="A105" s="248" t="s">
        <v>182</v>
      </c>
      <c r="B105" s="249"/>
      <c r="C105" s="250"/>
      <c r="D105" s="97">
        <f>ROUND(16*79.1,0)</f>
        <v>1266</v>
      </c>
      <c r="E105" s="96"/>
      <c r="F105" s="96"/>
      <c r="G105" s="96"/>
      <c r="H105" s="96"/>
      <c r="I105" s="96"/>
      <c r="J105" s="96"/>
      <c r="K105" s="96"/>
      <c r="L105" s="96"/>
      <c r="M105" s="96"/>
      <c r="N105" s="63"/>
      <c r="O105" s="157"/>
      <c r="P105" s="157"/>
      <c r="Q105" s="157"/>
    </row>
    <row r="106" spans="1:17" x14ac:dyDescent="0.35">
      <c r="A106" s="111" t="s">
        <v>183</v>
      </c>
      <c r="B106" s="124"/>
      <c r="C106" s="124"/>
      <c r="D106" s="97">
        <f>480*12</f>
        <v>5760</v>
      </c>
      <c r="E106" s="96"/>
      <c r="F106" s="96"/>
      <c r="G106" s="96"/>
      <c r="H106" s="96"/>
      <c r="I106" s="96"/>
      <c r="J106" s="96"/>
      <c r="K106" s="96"/>
      <c r="L106" s="96"/>
      <c r="M106" s="96"/>
      <c r="N106" s="63"/>
      <c r="O106" s="157"/>
      <c r="P106" s="157"/>
      <c r="Q106" s="157"/>
    </row>
    <row r="107" spans="1:17" x14ac:dyDescent="0.35">
      <c r="A107" s="96"/>
      <c r="B107" s="96"/>
      <c r="C107" s="98" t="s">
        <v>137</v>
      </c>
      <c r="D107" s="99">
        <f>SUM(D103:D106)</f>
        <v>34743</v>
      </c>
      <c r="E107" s="96"/>
      <c r="F107" s="96"/>
      <c r="G107" s="96"/>
      <c r="H107" s="96"/>
      <c r="I107" s="96"/>
      <c r="J107" s="96"/>
      <c r="K107" s="96"/>
      <c r="L107" s="96"/>
      <c r="M107" s="96"/>
      <c r="N107" s="63"/>
      <c r="O107" s="157"/>
      <c r="P107" s="157"/>
      <c r="Q107" s="157"/>
    </row>
    <row r="108" spans="1:17" x14ac:dyDescent="0.35">
      <c r="A108" s="95"/>
      <c r="B108" s="96"/>
      <c r="C108" s="96"/>
      <c r="D108" s="96"/>
      <c r="E108" s="96"/>
      <c r="F108" s="96"/>
      <c r="G108" s="96"/>
      <c r="H108" s="96"/>
      <c r="I108" s="96"/>
      <c r="J108" s="96"/>
      <c r="K108" s="96"/>
      <c r="L108" s="96"/>
      <c r="M108" s="96"/>
      <c r="N108" s="63"/>
      <c r="O108" s="157"/>
      <c r="P108" s="157"/>
      <c r="Q108" s="157"/>
    </row>
    <row r="109" spans="1:17" ht="69.5" customHeight="1" x14ac:dyDescent="0.35">
      <c r="A109" s="238" t="s">
        <v>184</v>
      </c>
      <c r="B109" s="238"/>
      <c r="C109" s="238"/>
      <c r="D109" s="238"/>
      <c r="E109" s="238"/>
      <c r="F109" s="238"/>
      <c r="G109" s="238"/>
      <c r="H109" s="238"/>
      <c r="I109" s="238"/>
      <c r="J109" s="238"/>
      <c r="K109" s="238"/>
      <c r="L109" s="238"/>
      <c r="M109" s="238"/>
      <c r="N109" s="238"/>
      <c r="O109" s="157"/>
      <c r="P109" s="157"/>
      <c r="Q109" s="157"/>
    </row>
    <row r="110" spans="1:17" x14ac:dyDescent="0.35">
      <c r="A110" s="96"/>
      <c r="B110" s="96"/>
      <c r="C110" s="96"/>
      <c r="D110" s="96"/>
      <c r="E110" s="96"/>
      <c r="F110" s="96"/>
      <c r="G110" s="96"/>
      <c r="H110" s="96"/>
      <c r="I110" s="96"/>
      <c r="J110" s="96"/>
      <c r="K110" s="96"/>
      <c r="L110" s="96"/>
      <c r="M110" s="96"/>
      <c r="N110" s="63"/>
      <c r="O110" s="157"/>
      <c r="P110" s="157"/>
      <c r="Q110" s="157"/>
    </row>
    <row r="111" spans="1:17" x14ac:dyDescent="0.35">
      <c r="A111" s="95" t="s">
        <v>185</v>
      </c>
      <c r="B111" s="100"/>
      <c r="C111" s="100"/>
      <c r="D111" s="100"/>
      <c r="E111" s="100"/>
      <c r="F111" s="100"/>
      <c r="G111" s="100"/>
      <c r="H111" s="100"/>
      <c r="I111" s="100"/>
      <c r="J111" s="100"/>
      <c r="K111" s="96"/>
      <c r="L111" s="96"/>
      <c r="M111" s="96"/>
      <c r="N111" s="63"/>
      <c r="O111" s="157"/>
      <c r="P111" s="157"/>
      <c r="Q111" s="157"/>
    </row>
    <row r="112" spans="1:17" x14ac:dyDescent="0.35">
      <c r="A112" s="63" t="s">
        <v>186</v>
      </c>
      <c r="B112" s="100"/>
      <c r="C112" s="100"/>
      <c r="D112" s="100"/>
      <c r="E112" s="100"/>
      <c r="F112" s="100"/>
      <c r="G112" s="100"/>
      <c r="H112" s="100"/>
      <c r="I112" s="100"/>
      <c r="J112" s="100"/>
      <c r="K112" s="96"/>
      <c r="L112" s="96"/>
      <c r="M112" s="96"/>
      <c r="N112" s="63"/>
      <c r="O112" s="157"/>
      <c r="P112" s="157"/>
      <c r="Q112" s="157"/>
    </row>
    <row r="113" spans="1:17" x14ac:dyDescent="0.35">
      <c r="A113" s="239" t="s">
        <v>187</v>
      </c>
      <c r="B113" s="239"/>
      <c r="C113" s="239"/>
      <c r="D113" s="239"/>
      <c r="E113" s="239"/>
      <c r="F113" s="239"/>
      <c r="G113" s="239"/>
      <c r="H113" s="239"/>
      <c r="I113" s="239"/>
      <c r="J113" s="239"/>
      <c r="K113" s="239"/>
      <c r="L113" s="239"/>
      <c r="M113" s="239"/>
      <c r="N113" s="239"/>
      <c r="O113" s="157"/>
      <c r="P113" s="157"/>
      <c r="Q113" s="157"/>
    </row>
    <row r="114" spans="1:17" x14ac:dyDescent="0.35">
      <c r="A114" s="239" t="s">
        <v>188</v>
      </c>
      <c r="B114" s="239"/>
      <c r="C114" s="239"/>
      <c r="D114" s="239"/>
      <c r="E114" s="239"/>
      <c r="F114" s="239"/>
      <c r="G114" s="239"/>
      <c r="H114" s="239"/>
      <c r="I114" s="239"/>
      <c r="J114" s="239"/>
      <c r="K114" s="96"/>
      <c r="L114" s="96"/>
      <c r="M114" s="63"/>
      <c r="N114" s="63"/>
      <c r="O114" s="157"/>
      <c r="P114" s="157"/>
      <c r="Q114" s="157"/>
    </row>
    <row r="115" spans="1:17" x14ac:dyDescent="0.35">
      <c r="A115" s="239" t="s">
        <v>223</v>
      </c>
      <c r="B115" s="239"/>
      <c r="C115" s="239"/>
      <c r="D115" s="239"/>
      <c r="E115" s="239"/>
      <c r="F115" s="239"/>
      <c r="G115" s="239"/>
      <c r="H115" s="239"/>
      <c r="I115" s="239"/>
      <c r="J115" s="239"/>
      <c r="K115" s="96"/>
      <c r="L115" s="96"/>
      <c r="M115" s="63"/>
      <c r="N115" s="63"/>
      <c r="O115" s="157"/>
      <c r="P115" s="157"/>
      <c r="Q115" s="157"/>
    </row>
    <row r="116" spans="1:17" x14ac:dyDescent="0.35">
      <c r="A116" s="101" t="s">
        <v>189</v>
      </c>
      <c r="B116" s="100"/>
      <c r="C116" s="100"/>
      <c r="D116" s="100"/>
      <c r="E116" s="100"/>
      <c r="F116" s="100"/>
      <c r="G116" s="100"/>
      <c r="H116" s="100"/>
      <c r="I116" s="100"/>
      <c r="J116" s="102"/>
      <c r="K116" s="96"/>
      <c r="L116" s="96"/>
      <c r="M116" s="63"/>
      <c r="N116" s="63"/>
      <c r="O116" s="157"/>
      <c r="P116" s="157"/>
      <c r="Q116" s="157"/>
    </row>
    <row r="117" spans="1:17" x14ac:dyDescent="0.35">
      <c r="A117" s="103"/>
      <c r="B117" s="100"/>
      <c r="C117" s="100"/>
      <c r="D117" s="100"/>
      <c r="E117" s="100"/>
      <c r="F117" s="100"/>
      <c r="G117" s="100"/>
      <c r="H117" s="100"/>
      <c r="I117" s="100"/>
      <c r="J117" s="102"/>
      <c r="K117" s="96"/>
      <c r="L117" s="96"/>
      <c r="M117" s="63"/>
      <c r="N117" s="63"/>
      <c r="O117" s="157"/>
      <c r="P117" s="157"/>
      <c r="Q117" s="157"/>
    </row>
    <row r="118" spans="1:17" x14ac:dyDescent="0.35">
      <c r="A118" s="104" t="s">
        <v>150</v>
      </c>
      <c r="B118" s="105">
        <f>60*73.4</f>
        <v>4404</v>
      </c>
      <c r="C118" s="100"/>
      <c r="D118" s="100"/>
      <c r="E118" s="100"/>
      <c r="F118" s="100"/>
      <c r="G118" s="100"/>
      <c r="H118" s="100"/>
      <c r="I118" s="100"/>
      <c r="J118" s="102"/>
      <c r="K118" s="96"/>
      <c r="L118" s="96"/>
      <c r="M118" s="96"/>
      <c r="N118" s="63"/>
      <c r="O118" s="157"/>
      <c r="P118" s="157"/>
      <c r="Q118" s="157"/>
    </row>
    <row r="119" spans="1:17" x14ac:dyDescent="0.35">
      <c r="A119" s="104" t="s">
        <v>151</v>
      </c>
      <c r="B119" s="105">
        <f>100*60</f>
        <v>6000</v>
      </c>
      <c r="C119" s="100"/>
      <c r="D119" s="100"/>
      <c r="E119" s="100"/>
      <c r="F119" s="100"/>
      <c r="G119" s="100"/>
      <c r="H119" s="100"/>
      <c r="I119" s="100"/>
      <c r="J119" s="102"/>
      <c r="K119" s="96"/>
      <c r="L119" s="96"/>
      <c r="M119" s="96"/>
      <c r="N119" s="63"/>
      <c r="O119" s="157"/>
      <c r="P119" s="157"/>
      <c r="Q119" s="157"/>
    </row>
    <row r="120" spans="1:17" x14ac:dyDescent="0.35">
      <c r="A120" s="104" t="s">
        <v>152</v>
      </c>
      <c r="B120" s="105">
        <f>412*12</f>
        <v>4944</v>
      </c>
      <c r="C120" s="100"/>
      <c r="D120" s="100"/>
      <c r="E120" s="100"/>
      <c r="F120" s="100"/>
      <c r="G120" s="100"/>
      <c r="H120" s="100"/>
      <c r="I120" s="100"/>
      <c r="J120" s="102"/>
      <c r="K120" s="96"/>
      <c r="L120" s="96"/>
      <c r="M120" s="96"/>
      <c r="N120" s="63"/>
      <c r="O120" s="157"/>
      <c r="P120" s="157"/>
      <c r="Q120" s="157"/>
    </row>
    <row r="121" spans="1:17" x14ac:dyDescent="0.35">
      <c r="A121" s="104" t="s">
        <v>153</v>
      </c>
      <c r="B121" s="105">
        <f>560*30</f>
        <v>16800</v>
      </c>
      <c r="C121" s="100"/>
      <c r="D121" s="100"/>
      <c r="E121" s="100"/>
      <c r="F121" s="100"/>
      <c r="G121" s="100"/>
      <c r="H121" s="100"/>
      <c r="I121" s="100"/>
      <c r="J121" s="102"/>
      <c r="K121" s="96"/>
      <c r="L121" s="96"/>
      <c r="M121" s="96"/>
      <c r="N121" s="63"/>
      <c r="O121" s="157"/>
      <c r="P121" s="157"/>
      <c r="Q121" s="157"/>
    </row>
    <row r="122" spans="1:17" x14ac:dyDescent="0.35">
      <c r="A122" s="106" t="s">
        <v>137</v>
      </c>
      <c r="B122" s="125">
        <f>SUM(B118:B121)</f>
        <v>32148</v>
      </c>
      <c r="C122" s="100"/>
      <c r="D122" s="100"/>
      <c r="E122" s="100"/>
      <c r="F122" s="107"/>
      <c r="G122" s="100"/>
      <c r="H122" s="100"/>
      <c r="I122" s="100"/>
      <c r="J122" s="100"/>
      <c r="K122" s="96"/>
      <c r="L122" s="96"/>
      <c r="M122" s="96"/>
      <c r="N122" s="63"/>
      <c r="O122" s="157"/>
      <c r="P122" s="157"/>
      <c r="Q122" s="157"/>
    </row>
    <row r="123" spans="1:17" x14ac:dyDescent="0.35">
      <c r="A123" s="238" t="s">
        <v>190</v>
      </c>
      <c r="B123" s="238"/>
      <c r="C123" s="238"/>
      <c r="D123" s="238"/>
      <c r="E123" s="238"/>
      <c r="F123" s="238"/>
      <c r="G123" s="238"/>
      <c r="H123" s="238"/>
      <c r="I123" s="238"/>
      <c r="J123" s="238"/>
      <c r="K123" s="238"/>
      <c r="L123" s="238"/>
      <c r="M123" s="238"/>
      <c r="N123" s="238"/>
      <c r="O123" s="157"/>
      <c r="P123" s="157"/>
      <c r="Q123" s="157"/>
    </row>
    <row r="124" spans="1:17" x14ac:dyDescent="0.35">
      <c r="A124" s="96"/>
      <c r="B124" s="96"/>
      <c r="C124" s="96"/>
      <c r="D124" s="96"/>
      <c r="E124" s="96"/>
      <c r="F124" s="96"/>
      <c r="G124" s="96"/>
      <c r="H124" s="96"/>
      <c r="I124" s="96"/>
      <c r="J124" s="96"/>
      <c r="K124" s="96"/>
      <c r="L124" s="96"/>
      <c r="M124" s="96"/>
      <c r="N124" s="63"/>
      <c r="O124" s="157"/>
      <c r="P124" s="157"/>
      <c r="Q124" s="157"/>
    </row>
    <row r="125" spans="1:17" x14ac:dyDescent="0.35">
      <c r="A125" s="66" t="s">
        <v>191</v>
      </c>
      <c r="B125" s="63"/>
      <c r="C125" s="63"/>
      <c r="D125" s="63"/>
      <c r="E125" s="63"/>
      <c r="F125" s="63"/>
      <c r="G125" s="63"/>
      <c r="H125" s="63"/>
      <c r="I125" s="63"/>
      <c r="J125" s="63"/>
      <c r="K125" s="63"/>
      <c r="L125" s="63"/>
      <c r="M125" s="63"/>
      <c r="N125" s="63"/>
      <c r="O125" s="157"/>
      <c r="P125" s="157"/>
      <c r="Q125" s="157"/>
    </row>
    <row r="126" spans="1:17" x14ac:dyDescent="0.35">
      <c r="A126" s="237" t="s">
        <v>192</v>
      </c>
      <c r="B126" s="237"/>
      <c r="C126" s="237"/>
      <c r="D126" s="237"/>
      <c r="E126" s="237"/>
      <c r="F126" s="237"/>
      <c r="G126" s="237"/>
      <c r="H126" s="63"/>
      <c r="I126" s="63"/>
      <c r="J126" s="63"/>
      <c r="K126" s="63"/>
      <c r="L126" s="63"/>
      <c r="M126" s="63"/>
      <c r="N126" s="63"/>
      <c r="O126" s="157"/>
      <c r="P126" s="157"/>
      <c r="Q126" s="157"/>
    </row>
    <row r="127" spans="1:17" x14ac:dyDescent="0.35">
      <c r="A127" s="247" t="s">
        <v>156</v>
      </c>
      <c r="B127" s="247"/>
      <c r="C127" s="126"/>
      <c r="D127" s="126"/>
      <c r="E127" s="63"/>
      <c r="F127" s="63"/>
      <c r="G127" s="63"/>
      <c r="H127" s="63"/>
      <c r="I127" s="63"/>
      <c r="J127" s="63"/>
      <c r="K127" s="63"/>
      <c r="L127" s="63"/>
      <c r="M127" s="63"/>
      <c r="N127" s="63"/>
      <c r="O127" s="157"/>
      <c r="P127" s="157"/>
      <c r="Q127" s="157"/>
    </row>
    <row r="128" spans="1:17" ht="30" x14ac:dyDescent="0.35">
      <c r="A128" s="118" t="s">
        <v>157</v>
      </c>
      <c r="B128" s="128" t="s">
        <v>193</v>
      </c>
      <c r="C128" s="128" t="s">
        <v>194</v>
      </c>
      <c r="D128" s="127" t="s">
        <v>195</v>
      </c>
      <c r="E128" s="118" t="s">
        <v>130</v>
      </c>
      <c r="F128" s="112" t="s">
        <v>163</v>
      </c>
      <c r="G128" s="112" t="s">
        <v>164</v>
      </c>
      <c r="H128" s="63"/>
      <c r="I128" s="63"/>
      <c r="J128" s="63"/>
      <c r="K128" s="63"/>
      <c r="L128" s="63"/>
      <c r="M128" s="63"/>
      <c r="N128" s="63"/>
      <c r="O128" s="157"/>
      <c r="P128" s="157"/>
      <c r="Q128" s="157"/>
    </row>
    <row r="129" spans="1:17" x14ac:dyDescent="0.35">
      <c r="A129" s="115">
        <v>2027</v>
      </c>
      <c r="B129" s="115">
        <v>150</v>
      </c>
      <c r="C129" s="115">
        <v>6.65</v>
      </c>
      <c r="D129" s="115">
        <v>6</v>
      </c>
      <c r="E129" s="116">
        <f>ROUND(B129*C129*D129,0)</f>
        <v>5985</v>
      </c>
      <c r="F129" s="116">
        <f>ROUND(E129*0.21,0)</f>
        <v>1257</v>
      </c>
      <c r="G129" s="116">
        <f>F129+E129</f>
        <v>7242</v>
      </c>
      <c r="H129" s="63"/>
      <c r="I129" s="63"/>
      <c r="J129" s="63"/>
      <c r="K129" s="63"/>
      <c r="L129" s="63"/>
      <c r="M129" s="63"/>
      <c r="N129" s="63"/>
      <c r="O129" s="157"/>
      <c r="P129" s="157"/>
      <c r="Q129" s="157"/>
    </row>
    <row r="130" spans="1:17" x14ac:dyDescent="0.35">
      <c r="A130" s="115">
        <v>2028</v>
      </c>
      <c r="B130" s="115">
        <v>150</v>
      </c>
      <c r="C130" s="115">
        <v>6.65</v>
      </c>
      <c r="D130" s="115">
        <v>12</v>
      </c>
      <c r="E130" s="116">
        <f>ROUND(B130*C130*D130,0)</f>
        <v>11970</v>
      </c>
      <c r="F130" s="116">
        <f>ROUND(E130*0.21,0)</f>
        <v>2514</v>
      </c>
      <c r="G130" s="116">
        <f>F130+E130</f>
        <v>14484</v>
      </c>
      <c r="H130" s="63"/>
      <c r="I130" s="63"/>
      <c r="J130" s="63"/>
      <c r="K130" s="63"/>
      <c r="L130" s="63"/>
      <c r="M130" s="63"/>
      <c r="N130" s="63"/>
      <c r="O130" s="157"/>
      <c r="P130" s="157"/>
      <c r="Q130" s="157"/>
    </row>
    <row r="131" spans="1:17" ht="95" customHeight="1" x14ac:dyDescent="0.35">
      <c r="A131" s="258" t="s">
        <v>244</v>
      </c>
      <c r="B131" s="258"/>
      <c r="C131" s="258"/>
      <c r="D131" s="258"/>
      <c r="E131" s="258"/>
      <c r="F131" s="258"/>
      <c r="G131" s="258"/>
      <c r="H131" s="158"/>
      <c r="I131" s="65"/>
      <c r="J131" s="65"/>
      <c r="K131" s="65"/>
      <c r="L131" s="63"/>
      <c r="M131" s="63"/>
      <c r="N131" s="63"/>
      <c r="O131" s="157"/>
      <c r="P131" s="157"/>
      <c r="Q131" s="157"/>
    </row>
    <row r="132" spans="1:17" x14ac:dyDescent="0.35">
      <c r="A132" s="126"/>
      <c r="B132" s="126"/>
      <c r="C132" s="126"/>
      <c r="D132" s="126"/>
      <c r="E132" s="126"/>
      <c r="F132" s="126"/>
      <c r="G132" s="126"/>
      <c r="H132" s="126"/>
      <c r="I132" s="126"/>
      <c r="J132" s="126"/>
      <c r="K132" s="126"/>
      <c r="L132" s="63"/>
      <c r="M132" s="63"/>
      <c r="N132" s="63"/>
      <c r="O132" s="157"/>
      <c r="P132" s="157"/>
      <c r="Q132" s="157"/>
    </row>
    <row r="133" spans="1:17" x14ac:dyDescent="0.35">
      <c r="A133" s="109" t="s">
        <v>196</v>
      </c>
      <c r="B133" s="126"/>
      <c r="C133" s="126"/>
      <c r="D133" s="126"/>
      <c r="E133" s="126"/>
      <c r="F133" s="126"/>
      <c r="G133" s="126"/>
      <c r="H133" s="126"/>
      <c r="I133" s="126"/>
      <c r="J133" s="126"/>
      <c r="K133" s="126"/>
      <c r="L133" s="63"/>
      <c r="M133" s="63"/>
      <c r="N133" s="63"/>
      <c r="O133" s="157"/>
      <c r="P133" s="157"/>
      <c r="Q133" s="157"/>
    </row>
    <row r="134" spans="1:17" x14ac:dyDescent="0.35">
      <c r="A134" s="259" t="s">
        <v>197</v>
      </c>
      <c r="B134" s="259"/>
      <c r="C134" s="259"/>
      <c r="D134" s="259"/>
      <c r="E134" s="259"/>
      <c r="F134" s="259"/>
      <c r="G134" s="259"/>
      <c r="H134" s="63"/>
      <c r="I134" s="63"/>
      <c r="J134" s="63"/>
      <c r="K134" s="63"/>
      <c r="L134" s="63"/>
      <c r="M134" s="63"/>
      <c r="N134" s="63"/>
      <c r="O134" s="157"/>
      <c r="P134" s="157"/>
      <c r="Q134" s="157"/>
    </row>
    <row r="135" spans="1:17" x14ac:dyDescent="0.35">
      <c r="A135" s="247" t="s">
        <v>156</v>
      </c>
      <c r="B135" s="247"/>
      <c r="C135" s="63"/>
      <c r="D135" s="63"/>
      <c r="E135" s="63"/>
      <c r="F135" s="63"/>
      <c r="G135" s="63"/>
      <c r="H135" s="63"/>
      <c r="I135" s="63"/>
      <c r="J135" s="63"/>
      <c r="K135" s="63"/>
      <c r="L135" s="63"/>
      <c r="M135" s="63"/>
      <c r="N135" s="63"/>
      <c r="O135" s="157"/>
      <c r="P135" s="157"/>
      <c r="Q135" s="157"/>
    </row>
    <row r="136" spans="1:17" ht="44" x14ac:dyDescent="0.35">
      <c r="A136" s="112" t="s">
        <v>157</v>
      </c>
      <c r="B136" s="128" t="s">
        <v>193</v>
      </c>
      <c r="C136" s="112" t="s">
        <v>224</v>
      </c>
      <c r="D136" s="112" t="s">
        <v>198</v>
      </c>
      <c r="E136" s="128" t="s">
        <v>195</v>
      </c>
      <c r="F136" s="112" t="s">
        <v>130</v>
      </c>
      <c r="G136" s="112" t="s">
        <v>163</v>
      </c>
      <c r="H136" s="112" t="s">
        <v>164</v>
      </c>
      <c r="I136" s="63"/>
      <c r="J136" s="63"/>
      <c r="K136" s="63"/>
      <c r="L136" s="63"/>
      <c r="M136" s="63"/>
      <c r="N136" s="63"/>
      <c r="O136" s="157"/>
      <c r="P136" s="157"/>
      <c r="Q136" s="157"/>
    </row>
    <row r="137" spans="1:17" x14ac:dyDescent="0.35">
      <c r="A137" s="115">
        <v>2027</v>
      </c>
      <c r="B137" s="118">
        <v>150</v>
      </c>
      <c r="C137" s="118">
        <v>4.97</v>
      </c>
      <c r="D137" s="118">
        <f>B137*C137</f>
        <v>745.5</v>
      </c>
      <c r="E137" s="118">
        <v>6</v>
      </c>
      <c r="F137" s="129">
        <f>ROUND(E137*D137,0)</f>
        <v>4473</v>
      </c>
      <c r="G137" s="118">
        <f>ROUND(F137*0.21,0)</f>
        <v>939</v>
      </c>
      <c r="H137" s="129">
        <f>G137+F137</f>
        <v>5412</v>
      </c>
      <c r="I137" s="63"/>
      <c r="J137" s="63"/>
      <c r="K137" s="63"/>
      <c r="L137" s="63"/>
      <c r="M137" s="63"/>
      <c r="N137" s="63"/>
      <c r="O137" s="157"/>
      <c r="P137" s="157"/>
      <c r="Q137" s="157"/>
    </row>
    <row r="138" spans="1:17" x14ac:dyDescent="0.35">
      <c r="A138" s="115">
        <v>2028</v>
      </c>
      <c r="B138" s="118">
        <v>150</v>
      </c>
      <c r="C138" s="118">
        <v>4.97</v>
      </c>
      <c r="D138" s="118">
        <f>B138*C138</f>
        <v>745.5</v>
      </c>
      <c r="E138" s="118">
        <v>12</v>
      </c>
      <c r="F138" s="129">
        <f>ROUND(E138*D138,0)</f>
        <v>8946</v>
      </c>
      <c r="G138" s="118">
        <f>ROUND(F138*0.21,0)</f>
        <v>1879</v>
      </c>
      <c r="H138" s="129">
        <f>G138+F138</f>
        <v>10825</v>
      </c>
      <c r="I138" s="63"/>
      <c r="J138" s="63"/>
      <c r="K138" s="63"/>
      <c r="L138" s="63"/>
      <c r="M138" s="63"/>
      <c r="N138" s="63"/>
      <c r="O138" s="157"/>
      <c r="P138" s="157"/>
      <c r="Q138" s="157"/>
    </row>
    <row r="139" spans="1:17" x14ac:dyDescent="0.35">
      <c r="A139" s="159" t="s">
        <v>199</v>
      </c>
      <c r="B139" s="63"/>
      <c r="C139" s="63"/>
      <c r="D139" s="63"/>
      <c r="E139" s="63"/>
      <c r="F139" s="63"/>
      <c r="G139" s="63"/>
      <c r="H139" s="63"/>
      <c r="I139" s="63"/>
      <c r="J139" s="63"/>
      <c r="K139" s="63"/>
      <c r="L139" s="63"/>
      <c r="M139" s="63"/>
      <c r="N139" s="63"/>
      <c r="O139" s="157"/>
      <c r="P139" s="157"/>
      <c r="Q139" s="157"/>
    </row>
    <row r="140" spans="1:17" x14ac:dyDescent="0.35">
      <c r="A140" s="63"/>
      <c r="B140" s="63"/>
      <c r="C140" s="63"/>
      <c r="D140" s="63"/>
      <c r="E140" s="63"/>
      <c r="F140" s="63"/>
      <c r="G140" s="63"/>
      <c r="H140" s="63"/>
      <c r="I140" s="63"/>
      <c r="J140" s="63"/>
      <c r="K140" s="63"/>
      <c r="L140" s="63"/>
      <c r="M140" s="63"/>
      <c r="N140" s="63"/>
      <c r="O140" s="157"/>
      <c r="P140" s="157"/>
      <c r="Q140" s="157"/>
    </row>
    <row r="141" spans="1:17" x14ac:dyDescent="0.35">
      <c r="A141" s="66" t="s">
        <v>200</v>
      </c>
      <c r="B141" s="63"/>
      <c r="C141" s="63"/>
      <c r="D141" s="63"/>
      <c r="E141" s="63"/>
      <c r="F141" s="63"/>
      <c r="G141" s="63"/>
      <c r="H141" s="63"/>
      <c r="I141" s="63"/>
      <c r="J141" s="63"/>
      <c r="K141" s="63"/>
      <c r="L141" s="63"/>
      <c r="M141" s="63"/>
      <c r="N141" s="63"/>
      <c r="O141" s="157"/>
      <c r="P141" s="157"/>
      <c r="Q141" s="157"/>
    </row>
    <row r="142" spans="1:17" x14ac:dyDescent="0.35">
      <c r="A142" s="247" t="s">
        <v>156</v>
      </c>
      <c r="B142" s="247"/>
      <c r="C142" s="63"/>
      <c r="D142" s="63"/>
      <c r="E142" s="63"/>
      <c r="F142" s="63"/>
      <c r="G142" s="63"/>
      <c r="H142" s="63"/>
      <c r="I142" s="63"/>
      <c r="J142" s="63"/>
      <c r="K142" s="63"/>
      <c r="L142" s="63"/>
      <c r="M142" s="63"/>
      <c r="N142" s="63"/>
      <c r="O142" s="157"/>
      <c r="P142" s="157"/>
      <c r="Q142" s="157"/>
    </row>
    <row r="143" spans="1:17" ht="28.5" x14ac:dyDescent="0.35">
      <c r="A143" s="110" t="s">
        <v>157</v>
      </c>
      <c r="B143" s="113" t="s">
        <v>201</v>
      </c>
      <c r="C143" s="113" t="s">
        <v>202</v>
      </c>
      <c r="D143" s="113" t="s">
        <v>203</v>
      </c>
      <c r="E143" s="113" t="s">
        <v>204</v>
      </c>
      <c r="F143" s="113" t="s">
        <v>137</v>
      </c>
      <c r="G143" s="112" t="s">
        <v>163</v>
      </c>
      <c r="H143" s="112" t="s">
        <v>164</v>
      </c>
      <c r="I143" s="63"/>
      <c r="J143" s="63"/>
      <c r="K143" s="63"/>
      <c r="L143" s="63"/>
      <c r="M143" s="63"/>
      <c r="N143" s="63"/>
      <c r="O143" s="157"/>
      <c r="P143" s="157"/>
      <c r="Q143" s="157"/>
    </row>
    <row r="144" spans="1:17" x14ac:dyDescent="0.35">
      <c r="A144" s="115">
        <v>2027</v>
      </c>
      <c r="B144" s="115">
        <v>6</v>
      </c>
      <c r="C144" s="116">
        <v>720</v>
      </c>
      <c r="D144" s="116">
        <v>720</v>
      </c>
      <c r="E144" s="116">
        <v>1674</v>
      </c>
      <c r="F144" s="116">
        <f>C144+D144+E144</f>
        <v>3114</v>
      </c>
      <c r="G144" s="118">
        <f>ROUND(F144*0.21,0)</f>
        <v>654</v>
      </c>
      <c r="H144" s="129">
        <f>G144+F144</f>
        <v>3768</v>
      </c>
      <c r="I144" s="63"/>
      <c r="J144" s="63"/>
      <c r="K144" s="63"/>
      <c r="L144" s="63"/>
      <c r="M144" s="63"/>
      <c r="N144" s="63"/>
      <c r="O144" s="157"/>
      <c r="P144" s="157"/>
      <c r="Q144" s="157"/>
    </row>
    <row r="145" spans="1:17" x14ac:dyDescent="0.35">
      <c r="A145" s="115">
        <v>2028</v>
      </c>
      <c r="B145" s="115">
        <v>12</v>
      </c>
      <c r="C145" s="116">
        <f>720*2</f>
        <v>1440</v>
      </c>
      <c r="D145" s="116">
        <f>720*2</f>
        <v>1440</v>
      </c>
      <c r="E145" s="116">
        <f>750*2</f>
        <v>1500</v>
      </c>
      <c r="F145" s="116">
        <f>C145+D145+E145</f>
        <v>4380</v>
      </c>
      <c r="G145" s="118">
        <f>ROUND(F145*0.21,0)</f>
        <v>920</v>
      </c>
      <c r="H145" s="129">
        <f>G145+F145</f>
        <v>5300</v>
      </c>
      <c r="I145" s="63"/>
      <c r="J145" s="63"/>
      <c r="K145" s="63"/>
      <c r="L145" s="63"/>
      <c r="M145" s="63"/>
      <c r="N145" s="63"/>
      <c r="O145" s="157"/>
      <c r="P145" s="157"/>
      <c r="Q145" s="157"/>
    </row>
    <row r="146" spans="1:17" x14ac:dyDescent="0.35">
      <c r="A146" s="63"/>
      <c r="B146" s="63"/>
      <c r="C146" s="63"/>
      <c r="D146" s="63"/>
      <c r="E146" s="63"/>
      <c r="F146" s="63"/>
      <c r="G146" s="63"/>
      <c r="H146" s="63"/>
      <c r="I146" s="63"/>
      <c r="J146" s="63"/>
      <c r="K146" s="63"/>
      <c r="L146" s="63"/>
      <c r="M146" s="63"/>
      <c r="N146" s="63"/>
      <c r="O146" s="157"/>
      <c r="P146" s="157"/>
      <c r="Q146" s="157"/>
    </row>
    <row r="147" spans="1:17" ht="142.5" customHeight="1" x14ac:dyDescent="0.35">
      <c r="A147" s="238" t="s">
        <v>248</v>
      </c>
      <c r="B147" s="238"/>
      <c r="C147" s="238"/>
      <c r="D147" s="238"/>
      <c r="E147" s="238"/>
      <c r="F147" s="238"/>
      <c r="G147" s="238"/>
      <c r="H147" s="238"/>
      <c r="I147" s="160"/>
      <c r="J147" s="160"/>
      <c r="K147" s="160"/>
      <c r="L147" s="63"/>
      <c r="M147" s="63"/>
      <c r="N147" s="63"/>
      <c r="O147" s="157"/>
      <c r="P147" s="157"/>
      <c r="Q147" s="157"/>
    </row>
    <row r="148" spans="1:17" x14ac:dyDescent="0.35">
      <c r="A148" s="63"/>
      <c r="B148" s="63"/>
      <c r="C148" s="63"/>
      <c r="D148" s="63"/>
      <c r="E148" s="63"/>
      <c r="F148" s="63"/>
      <c r="G148" s="63"/>
      <c r="H148" s="63"/>
      <c r="I148" s="63"/>
      <c r="J148" s="63"/>
      <c r="K148" s="63"/>
      <c r="L148" s="63"/>
      <c r="M148" s="63"/>
      <c r="N148" s="63"/>
      <c r="O148" s="157"/>
      <c r="P148" s="157"/>
      <c r="Q148" s="157"/>
    </row>
    <row r="149" spans="1:17" ht="42" customHeight="1" thickBot="1" x14ac:dyDescent="0.4">
      <c r="A149" s="63"/>
      <c r="B149" s="63"/>
      <c r="C149" s="63"/>
      <c r="D149" s="256" t="s">
        <v>225</v>
      </c>
      <c r="E149" s="256"/>
      <c r="F149" s="256"/>
      <c r="G149" s="256"/>
      <c r="H149" s="256"/>
      <c r="I149" s="63"/>
      <c r="J149" s="63"/>
      <c r="K149" s="63"/>
      <c r="L149" s="63"/>
      <c r="M149" s="63"/>
      <c r="N149" s="63"/>
      <c r="O149" s="157"/>
      <c r="P149" s="157"/>
      <c r="Q149" s="157"/>
    </row>
    <row r="150" spans="1:17" ht="43" thickBot="1" x14ac:dyDescent="0.4">
      <c r="A150" s="63"/>
      <c r="B150" s="63"/>
      <c r="C150" s="63"/>
      <c r="D150" s="130"/>
      <c r="E150" s="204" t="s">
        <v>206</v>
      </c>
      <c r="F150" s="204" t="s">
        <v>247</v>
      </c>
      <c r="G150" s="131" t="s">
        <v>205</v>
      </c>
      <c r="H150" s="132" t="s">
        <v>207</v>
      </c>
      <c r="I150" s="63"/>
      <c r="J150" s="63"/>
      <c r="K150" s="63"/>
      <c r="L150" s="63"/>
      <c r="M150" s="63"/>
      <c r="N150" s="63"/>
      <c r="O150" s="157"/>
      <c r="P150" s="157"/>
      <c r="Q150" s="157"/>
    </row>
    <row r="151" spans="1:17" x14ac:dyDescent="0.35">
      <c r="A151" s="63"/>
      <c r="B151" s="63"/>
      <c r="C151" s="63"/>
      <c r="D151" s="133" t="s">
        <v>208</v>
      </c>
      <c r="E151" s="134"/>
      <c r="F151" s="134"/>
      <c r="G151" s="135">
        <f>N26</f>
        <v>61886</v>
      </c>
      <c r="H151" s="136">
        <f>N90</f>
        <v>126009</v>
      </c>
      <c r="I151" s="63"/>
      <c r="J151" s="63"/>
      <c r="K151" s="63"/>
      <c r="L151" s="63"/>
      <c r="M151" s="63"/>
      <c r="N151" s="63"/>
      <c r="O151" s="157"/>
      <c r="P151" s="157"/>
      <c r="Q151" s="157"/>
    </row>
    <row r="152" spans="1:17" ht="42.5" x14ac:dyDescent="0.35">
      <c r="A152" s="63"/>
      <c r="B152" s="63"/>
      <c r="C152" s="63"/>
      <c r="D152" s="137" t="s">
        <v>209</v>
      </c>
      <c r="E152" s="111"/>
      <c r="F152" s="111"/>
      <c r="G152" s="114">
        <f>E35</f>
        <v>35606</v>
      </c>
      <c r="H152" s="138">
        <f>E98</f>
        <v>71211</v>
      </c>
      <c r="I152" s="63"/>
      <c r="J152" s="63"/>
      <c r="K152" s="63"/>
      <c r="L152" s="63"/>
      <c r="M152" s="63"/>
      <c r="N152" s="63"/>
      <c r="O152" s="157"/>
      <c r="P152" s="157"/>
      <c r="Q152" s="157"/>
    </row>
    <row r="153" spans="1:17" ht="28.5" x14ac:dyDescent="0.35">
      <c r="A153" s="63"/>
      <c r="B153" s="63"/>
      <c r="C153" s="63"/>
      <c r="D153" s="137" t="s">
        <v>210</v>
      </c>
      <c r="E153" s="111"/>
      <c r="F153" s="111"/>
      <c r="G153" s="114">
        <f>E68</f>
        <v>6500</v>
      </c>
      <c r="H153" s="138">
        <f>E69</f>
        <v>1500</v>
      </c>
      <c r="I153" s="63"/>
      <c r="J153" s="63"/>
      <c r="K153" s="63"/>
      <c r="L153" s="63"/>
      <c r="M153" s="63"/>
      <c r="N153" s="63"/>
      <c r="O153" s="157"/>
      <c r="P153" s="157"/>
      <c r="Q153" s="157"/>
    </row>
    <row r="154" spans="1:17" ht="28.5" x14ac:dyDescent="0.35">
      <c r="A154" s="63"/>
      <c r="B154" s="63"/>
      <c r="C154" s="63"/>
      <c r="D154" s="137" t="s">
        <v>211</v>
      </c>
      <c r="E154" s="111"/>
      <c r="F154" s="111"/>
      <c r="G154" s="114">
        <f>G129</f>
        <v>7242</v>
      </c>
      <c r="H154" s="138">
        <f>G130</f>
        <v>14484</v>
      </c>
      <c r="I154" s="63"/>
      <c r="J154" s="63"/>
      <c r="K154" s="63"/>
      <c r="L154" s="63"/>
      <c r="M154" s="63"/>
      <c r="N154" s="63"/>
      <c r="O154" s="157"/>
      <c r="P154" s="157"/>
      <c r="Q154" s="157"/>
    </row>
    <row r="155" spans="1:17" ht="42.5" x14ac:dyDescent="0.35">
      <c r="A155" s="63"/>
      <c r="B155" s="63"/>
      <c r="C155" s="63"/>
      <c r="D155" s="137" t="s">
        <v>212</v>
      </c>
      <c r="E155" s="111"/>
      <c r="F155" s="111"/>
      <c r="G155" s="114">
        <f>H137</f>
        <v>5412</v>
      </c>
      <c r="H155" s="138">
        <f>H138</f>
        <v>10825</v>
      </c>
      <c r="I155" s="63"/>
      <c r="J155" s="63"/>
      <c r="K155" s="63"/>
      <c r="L155" s="63"/>
      <c r="M155" s="63"/>
      <c r="N155" s="63"/>
      <c r="O155" s="157"/>
      <c r="P155" s="157"/>
      <c r="Q155" s="157"/>
    </row>
    <row r="156" spans="1:17" ht="28.5" x14ac:dyDescent="0.35">
      <c r="A156" s="63"/>
      <c r="B156" s="63"/>
      <c r="C156" s="63"/>
      <c r="D156" s="137" t="s">
        <v>213</v>
      </c>
      <c r="E156" s="111"/>
      <c r="F156" s="111"/>
      <c r="G156" s="114">
        <f>H144</f>
        <v>3768</v>
      </c>
      <c r="H156" s="138">
        <f>H145</f>
        <v>5300</v>
      </c>
      <c r="I156" s="63"/>
      <c r="J156" s="63"/>
      <c r="K156" s="63"/>
      <c r="L156" s="63"/>
      <c r="M156" s="63"/>
      <c r="N156" s="63"/>
      <c r="O156" s="157"/>
      <c r="P156" s="157"/>
      <c r="Q156" s="157"/>
    </row>
    <row r="157" spans="1:17" ht="43" thickBot="1" x14ac:dyDescent="0.4">
      <c r="A157" s="63"/>
      <c r="B157" s="63"/>
      <c r="C157" s="63"/>
      <c r="D157" s="139" t="s">
        <v>214</v>
      </c>
      <c r="E157" s="140"/>
      <c r="F157" s="140"/>
      <c r="G157" s="141">
        <f>F81</f>
        <v>79860</v>
      </c>
      <c r="H157" s="142">
        <v>0</v>
      </c>
      <c r="I157" s="63"/>
      <c r="J157" s="63"/>
      <c r="K157" s="63"/>
      <c r="L157" s="63"/>
      <c r="M157" s="63"/>
      <c r="N157" s="63"/>
      <c r="O157" s="157"/>
      <c r="P157" s="157"/>
      <c r="Q157" s="157"/>
    </row>
    <row r="158" spans="1:17" ht="15" thickBot="1" x14ac:dyDescent="0.4">
      <c r="A158" s="63"/>
      <c r="B158" s="63"/>
      <c r="C158" s="63"/>
      <c r="D158" s="143"/>
      <c r="E158" s="144"/>
      <c r="F158" s="144"/>
      <c r="G158" s="145">
        <f>SUM(G151:G157)</f>
        <v>200274</v>
      </c>
      <c r="H158" s="146">
        <f>SUM(H151:H157)</f>
        <v>229329</v>
      </c>
      <c r="I158" s="63"/>
      <c r="J158" s="63"/>
      <c r="K158" s="63"/>
      <c r="L158" s="63"/>
      <c r="M158" s="63"/>
      <c r="N158" s="63"/>
      <c r="O158" s="157"/>
      <c r="P158" s="157"/>
      <c r="Q158" s="157"/>
    </row>
    <row r="159" spans="1:17" x14ac:dyDescent="0.35">
      <c r="A159" s="63"/>
      <c r="B159" s="63"/>
      <c r="C159" s="63"/>
      <c r="D159" s="63"/>
      <c r="E159" s="63"/>
      <c r="F159" s="63"/>
      <c r="G159" s="63"/>
      <c r="H159" s="63"/>
      <c r="I159" s="63"/>
      <c r="J159" s="63"/>
      <c r="K159" s="63"/>
      <c r="L159" s="63"/>
      <c r="M159" s="63"/>
      <c r="N159" s="63"/>
      <c r="O159" s="157"/>
      <c r="P159" s="157"/>
      <c r="Q159" s="157"/>
    </row>
    <row r="160" spans="1:17" x14ac:dyDescent="0.35">
      <c r="A160" s="63"/>
      <c r="B160" s="63"/>
      <c r="C160" s="63"/>
      <c r="D160" s="63"/>
      <c r="E160" s="63"/>
      <c r="F160" s="63"/>
      <c r="G160" s="63"/>
      <c r="H160" s="63"/>
      <c r="I160" s="63"/>
      <c r="J160" s="63"/>
      <c r="K160" s="63"/>
      <c r="L160" s="63"/>
      <c r="M160" s="63"/>
      <c r="N160" s="63"/>
      <c r="O160" s="157"/>
      <c r="P160" s="157"/>
      <c r="Q160" s="157"/>
    </row>
  </sheetData>
  <mergeCells count="85">
    <mergeCell ref="A2:L2"/>
    <mergeCell ref="A135:B135"/>
    <mergeCell ref="A142:B142"/>
    <mergeCell ref="A147:H147"/>
    <mergeCell ref="D149:H149"/>
    <mergeCell ref="A84:C84"/>
    <mergeCell ref="A131:G131"/>
    <mergeCell ref="A134:G134"/>
    <mergeCell ref="A103:C103"/>
    <mergeCell ref="A71:H71"/>
    <mergeCell ref="A115:J115"/>
    <mergeCell ref="A123:N123"/>
    <mergeCell ref="A126:G126"/>
    <mergeCell ref="A127:B127"/>
    <mergeCell ref="A104:C104"/>
    <mergeCell ref="A105:C105"/>
    <mergeCell ref="A109:N109"/>
    <mergeCell ref="A113:J113"/>
    <mergeCell ref="K113:N113"/>
    <mergeCell ref="A114:J114"/>
    <mergeCell ref="A95:D95"/>
    <mergeCell ref="A96:D96"/>
    <mergeCell ref="A97:D97"/>
    <mergeCell ref="A98:D98"/>
    <mergeCell ref="A100:N100"/>
    <mergeCell ref="B79:C79"/>
    <mergeCell ref="B80:C80"/>
    <mergeCell ref="B81:C81"/>
    <mergeCell ref="A82:F82"/>
    <mergeCell ref="A91:N91"/>
    <mergeCell ref="B75:C75"/>
    <mergeCell ref="B76:C76"/>
    <mergeCell ref="B77:C77"/>
    <mergeCell ref="B78:C78"/>
    <mergeCell ref="A18:C18"/>
    <mergeCell ref="A54:J54"/>
    <mergeCell ref="A55:J55"/>
    <mergeCell ref="A63:N63"/>
    <mergeCell ref="A66:B66"/>
    <mergeCell ref="A43:C43"/>
    <mergeCell ref="A44:C44"/>
    <mergeCell ref="A45:C45"/>
    <mergeCell ref="A46:C46"/>
    <mergeCell ref="A49:N49"/>
    <mergeCell ref="A53:N53"/>
    <mergeCell ref="A34:D34"/>
    <mergeCell ref="A35:D35"/>
    <mergeCell ref="A37:N37"/>
    <mergeCell ref="A38:N38"/>
    <mergeCell ref="A39:N39"/>
    <mergeCell ref="A40:N40"/>
    <mergeCell ref="A33:D33"/>
    <mergeCell ref="D11:E11"/>
    <mergeCell ref="F11:G11"/>
    <mergeCell ref="H11:I11"/>
    <mergeCell ref="D12:E12"/>
    <mergeCell ref="F12:G12"/>
    <mergeCell ref="H12:I12"/>
    <mergeCell ref="A15:N15"/>
    <mergeCell ref="A16:N16"/>
    <mergeCell ref="A20:Q20"/>
    <mergeCell ref="A27:N27"/>
    <mergeCell ref="A32:D32"/>
    <mergeCell ref="D9:E9"/>
    <mergeCell ref="F9:G9"/>
    <mergeCell ref="H9:I9"/>
    <mergeCell ref="D10:E10"/>
    <mergeCell ref="F10:G10"/>
    <mergeCell ref="H10:I10"/>
    <mergeCell ref="A7:C7"/>
    <mergeCell ref="D7:E7"/>
    <mergeCell ref="F7:G7"/>
    <mergeCell ref="H7:I7"/>
    <mergeCell ref="A8:C8"/>
    <mergeCell ref="D8:E8"/>
    <mergeCell ref="F8:G8"/>
    <mergeCell ref="H8:I8"/>
    <mergeCell ref="A4:P4"/>
    <mergeCell ref="A5:C6"/>
    <mergeCell ref="D5:I5"/>
    <mergeCell ref="J5:O5"/>
    <mergeCell ref="P5:P6"/>
    <mergeCell ref="D6:E6"/>
    <mergeCell ref="F6:G6"/>
    <mergeCell ref="H6:I6"/>
  </mergeCells>
  <pageMargins left="0.7" right="0.7" top="0.75" bottom="0.75" header="0.3" footer="0.3"/>
  <pageSetup paperSize="9" orientation="portrait" horizontalDpi="90" verticalDpi="9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A464C3-FF76-42B6-8F0A-DE5554B14EF1}">
  <dimension ref="A1:Y21"/>
  <sheetViews>
    <sheetView topLeftCell="B1" workbookViewId="0">
      <selection activeCell="H8" sqref="H8"/>
    </sheetView>
  </sheetViews>
  <sheetFormatPr defaultRowHeight="14.5" x14ac:dyDescent="0.35"/>
  <cols>
    <col min="1" max="1" width="8.7265625" hidden="1" customWidth="1"/>
    <col min="2" max="2" width="22.7265625" customWidth="1"/>
    <col min="3" max="3" width="15.81640625" customWidth="1"/>
    <col min="4" max="4" width="18" customWidth="1"/>
    <col min="5" max="5" width="34.7265625" customWidth="1"/>
  </cols>
  <sheetData>
    <row r="1" spans="1:25" ht="32.5" customHeight="1" x14ac:dyDescent="0.35">
      <c r="B1" s="265" t="s">
        <v>243</v>
      </c>
      <c r="C1" s="265"/>
      <c r="D1" s="265"/>
      <c r="E1" s="265"/>
      <c r="F1" s="265"/>
    </row>
    <row r="2" spans="1:25" ht="15.5" customHeight="1" x14ac:dyDescent="0.35">
      <c r="A2" s="163"/>
      <c r="B2" s="163" t="s">
        <v>87</v>
      </c>
      <c r="C2" s="163"/>
      <c r="D2" s="164"/>
      <c r="E2" s="163"/>
      <c r="F2" s="197"/>
      <c r="G2" s="197"/>
      <c r="H2" s="197"/>
      <c r="I2" s="163"/>
      <c r="J2" s="163"/>
      <c r="K2" s="163"/>
      <c r="L2" s="163"/>
      <c r="M2" s="163"/>
      <c r="N2" s="163"/>
      <c r="O2" s="163"/>
      <c r="P2" s="163"/>
      <c r="Q2" s="163"/>
      <c r="R2" s="163"/>
      <c r="S2" s="163"/>
      <c r="T2" s="163"/>
      <c r="U2" s="163"/>
      <c r="V2" s="163"/>
      <c r="W2" s="163"/>
      <c r="X2" s="163"/>
      <c r="Y2" s="163"/>
    </row>
    <row r="3" spans="1:25" ht="15.5" customHeight="1" x14ac:dyDescent="0.35">
      <c r="A3" s="261" t="s">
        <v>226</v>
      </c>
      <c r="B3" s="262"/>
      <c r="C3" s="262"/>
      <c r="D3" s="262"/>
      <c r="E3" s="263"/>
      <c r="F3" s="197"/>
      <c r="G3" s="197"/>
      <c r="H3" s="197"/>
      <c r="I3" s="163"/>
      <c r="J3" s="163"/>
      <c r="K3" s="163"/>
      <c r="L3" s="163"/>
      <c r="M3" s="163"/>
      <c r="N3" s="163"/>
      <c r="O3" s="163"/>
      <c r="P3" s="163"/>
      <c r="Q3" s="163"/>
      <c r="R3" s="163"/>
      <c r="S3" s="163"/>
      <c r="T3" s="163"/>
      <c r="U3" s="163"/>
      <c r="V3" s="163"/>
      <c r="W3" s="163"/>
      <c r="X3" s="163"/>
      <c r="Y3" s="163"/>
    </row>
    <row r="4" spans="1:25" ht="14.5" customHeight="1" x14ac:dyDescent="0.35">
      <c r="A4" s="165"/>
      <c r="B4" s="264" t="s">
        <v>227</v>
      </c>
      <c r="C4" s="264"/>
      <c r="D4" s="166">
        <f>D8+D11</f>
        <v>5000</v>
      </c>
      <c r="E4" s="167"/>
      <c r="F4" s="197"/>
      <c r="G4" s="197"/>
      <c r="H4" s="197"/>
      <c r="I4" s="163"/>
      <c r="J4" s="163"/>
      <c r="K4" s="163"/>
      <c r="L4" s="163"/>
      <c r="M4" s="163"/>
      <c r="N4" s="163"/>
      <c r="O4" s="163"/>
      <c r="P4" s="163"/>
      <c r="Q4" s="163"/>
      <c r="R4" s="163"/>
      <c r="S4" s="163"/>
      <c r="T4" s="163"/>
      <c r="U4" s="163"/>
      <c r="V4" s="163"/>
      <c r="W4" s="163"/>
      <c r="X4" s="163"/>
      <c r="Y4" s="163"/>
    </row>
    <row r="5" spans="1:25" x14ac:dyDescent="0.35">
      <c r="A5" s="168"/>
      <c r="B5" s="169" t="s">
        <v>228</v>
      </c>
      <c r="C5" s="169"/>
      <c r="D5" s="170">
        <v>2</v>
      </c>
      <c r="E5" s="171"/>
      <c r="F5" s="197"/>
      <c r="G5" s="197"/>
      <c r="H5" s="197"/>
      <c r="I5" s="163"/>
      <c r="J5" s="163"/>
      <c r="K5" s="163"/>
      <c r="L5" s="163"/>
      <c r="M5" s="163"/>
      <c r="N5" s="163"/>
      <c r="O5" s="163"/>
      <c r="P5" s="163"/>
      <c r="Q5" s="163"/>
      <c r="R5" s="163"/>
      <c r="S5" s="163"/>
      <c r="T5" s="163"/>
      <c r="U5" s="163"/>
      <c r="V5" s="163"/>
      <c r="W5" s="163"/>
      <c r="X5" s="163"/>
      <c r="Y5" s="163"/>
    </row>
    <row r="6" spans="1:25" x14ac:dyDescent="0.35">
      <c r="A6" s="168"/>
      <c r="B6" s="169" t="s">
        <v>229</v>
      </c>
      <c r="C6" s="169"/>
      <c r="D6" s="170">
        <v>2</v>
      </c>
      <c r="E6" s="171"/>
      <c r="F6" s="197"/>
      <c r="G6" s="197"/>
      <c r="H6" s="197"/>
      <c r="I6" s="163"/>
      <c r="J6" s="163"/>
      <c r="K6" s="163"/>
      <c r="L6" s="163"/>
      <c r="M6" s="163"/>
      <c r="N6" s="163"/>
      <c r="O6" s="163"/>
      <c r="P6" s="163"/>
      <c r="Q6" s="163"/>
      <c r="R6" s="163"/>
      <c r="S6" s="163"/>
      <c r="T6" s="163"/>
      <c r="U6" s="163"/>
      <c r="V6" s="163"/>
      <c r="W6" s="163"/>
      <c r="X6" s="163"/>
      <c r="Y6" s="163"/>
    </row>
    <row r="7" spans="1:25" x14ac:dyDescent="0.35">
      <c r="A7" s="168"/>
      <c r="B7" s="169" t="s">
        <v>230</v>
      </c>
      <c r="C7" s="169"/>
      <c r="D7" s="170">
        <v>4</v>
      </c>
      <c r="E7" s="173"/>
      <c r="F7" s="197"/>
      <c r="G7" s="197"/>
      <c r="H7" s="197"/>
      <c r="I7" s="163"/>
      <c r="J7" s="163"/>
      <c r="K7" s="163"/>
      <c r="L7" s="163"/>
      <c r="M7" s="163"/>
      <c r="N7" s="163"/>
      <c r="O7" s="163"/>
      <c r="P7" s="163"/>
      <c r="Q7" s="163"/>
      <c r="R7" s="163"/>
      <c r="S7" s="163"/>
      <c r="T7" s="163"/>
      <c r="U7" s="163"/>
      <c r="V7" s="163"/>
      <c r="W7" s="163"/>
      <c r="X7" s="163"/>
      <c r="Y7" s="163"/>
    </row>
    <row r="8" spans="1:25" ht="53.5" customHeight="1" x14ac:dyDescent="0.35">
      <c r="A8" s="174">
        <v>2121</v>
      </c>
      <c r="B8" s="175" t="s">
        <v>231</v>
      </c>
      <c r="C8" s="176">
        <v>60</v>
      </c>
      <c r="D8" s="177">
        <f>D6*D7*D5*C8</f>
        <v>960</v>
      </c>
      <c r="E8" s="178" t="s">
        <v>232</v>
      </c>
      <c r="F8" s="198"/>
      <c r="G8" s="197"/>
      <c r="H8" s="197"/>
      <c r="I8" s="163"/>
      <c r="J8" s="163"/>
      <c r="K8" s="163"/>
      <c r="L8" s="163"/>
      <c r="M8" s="163"/>
      <c r="N8" s="163"/>
      <c r="O8" s="163"/>
      <c r="P8" s="163"/>
      <c r="Q8" s="163"/>
      <c r="R8" s="163"/>
      <c r="S8" s="163"/>
      <c r="T8" s="163"/>
      <c r="U8" s="163"/>
      <c r="V8" s="163"/>
      <c r="W8" s="163"/>
      <c r="X8" s="163"/>
      <c r="Y8" s="163"/>
    </row>
    <row r="9" spans="1:25" hidden="1" x14ac:dyDescent="0.35">
      <c r="A9" s="179"/>
      <c r="B9" s="180"/>
      <c r="C9" s="180"/>
      <c r="D9" s="181"/>
      <c r="E9" s="180"/>
      <c r="F9" s="197"/>
      <c r="G9" s="197"/>
      <c r="H9" s="197"/>
      <c r="I9" s="163"/>
      <c r="J9" s="163"/>
      <c r="K9" s="163"/>
      <c r="L9" s="163"/>
      <c r="M9" s="163"/>
      <c r="N9" s="163"/>
      <c r="O9" s="163"/>
      <c r="P9" s="163"/>
      <c r="Q9" s="163"/>
      <c r="R9" s="163"/>
      <c r="S9" s="163"/>
      <c r="T9" s="163"/>
      <c r="U9" s="163"/>
      <c r="V9" s="163"/>
      <c r="W9" s="163"/>
      <c r="X9" s="163"/>
      <c r="Y9" s="163"/>
    </row>
    <row r="10" spans="1:25" hidden="1" x14ac:dyDescent="0.35">
      <c r="A10" s="179"/>
      <c r="B10" s="182"/>
      <c r="C10" s="182"/>
      <c r="D10" s="183"/>
      <c r="E10" s="182"/>
      <c r="F10" s="197"/>
      <c r="G10" s="197"/>
      <c r="H10" s="197"/>
      <c r="I10" s="163"/>
      <c r="J10" s="163"/>
      <c r="K10" s="163"/>
      <c r="L10" s="163"/>
      <c r="M10" s="163"/>
      <c r="N10" s="163"/>
      <c r="O10" s="163"/>
      <c r="P10" s="163"/>
      <c r="Q10" s="163"/>
      <c r="R10" s="163"/>
      <c r="S10" s="163"/>
      <c r="T10" s="163"/>
      <c r="U10" s="163"/>
      <c r="V10" s="163"/>
      <c r="W10" s="163"/>
      <c r="X10" s="163"/>
      <c r="Y10" s="163"/>
    </row>
    <row r="11" spans="1:25" ht="39.5" x14ac:dyDescent="0.35">
      <c r="A11" s="174">
        <v>2122</v>
      </c>
      <c r="B11" s="185" t="s">
        <v>233</v>
      </c>
      <c r="C11" s="186"/>
      <c r="D11" s="177">
        <f>SUM(D12:D17)</f>
        <v>4040</v>
      </c>
      <c r="E11" s="187"/>
      <c r="F11" s="197"/>
      <c r="G11" s="197"/>
      <c r="H11" s="197"/>
      <c r="I11" s="163"/>
      <c r="J11" s="163"/>
      <c r="K11" s="163"/>
      <c r="L11" s="163"/>
      <c r="M11" s="163"/>
      <c r="N11" s="163"/>
      <c r="O11" s="163"/>
      <c r="P11" s="163"/>
      <c r="Q11" s="163"/>
      <c r="R11" s="163"/>
      <c r="S11" s="163"/>
      <c r="T11" s="163"/>
      <c r="U11" s="163"/>
      <c r="V11" s="163"/>
      <c r="W11" s="163"/>
      <c r="X11" s="163"/>
      <c r="Y11" s="163"/>
    </row>
    <row r="12" spans="1:25" ht="77" customHeight="1" x14ac:dyDescent="0.35">
      <c r="A12" s="188"/>
      <c r="B12" s="189" t="s">
        <v>234</v>
      </c>
      <c r="C12" s="190">
        <v>150</v>
      </c>
      <c r="D12" s="181">
        <f>C12*D6*D5</f>
        <v>600</v>
      </c>
      <c r="E12" s="191" t="s">
        <v>235</v>
      </c>
      <c r="F12" s="197"/>
      <c r="G12" s="197"/>
      <c r="H12" s="197"/>
      <c r="I12" s="163"/>
      <c r="J12" s="163"/>
      <c r="K12" s="163"/>
      <c r="L12" s="163"/>
      <c r="M12" s="163"/>
      <c r="N12" s="163"/>
      <c r="O12" s="163"/>
      <c r="P12" s="163"/>
      <c r="Q12" s="163"/>
      <c r="R12" s="163"/>
      <c r="S12" s="163"/>
      <c r="T12" s="163"/>
      <c r="U12" s="163"/>
      <c r="V12" s="163"/>
      <c r="W12" s="163"/>
      <c r="X12" s="163"/>
      <c r="Y12" s="163"/>
    </row>
    <row r="13" spans="1:25" ht="52" x14ac:dyDescent="0.35">
      <c r="A13" s="188"/>
      <c r="B13" s="192" t="s">
        <v>236</v>
      </c>
      <c r="C13" s="190">
        <v>260</v>
      </c>
      <c r="D13" s="184">
        <f>C13*3*D6*D5</f>
        <v>3120</v>
      </c>
      <c r="E13" s="191" t="s">
        <v>237</v>
      </c>
      <c r="F13" s="197"/>
      <c r="G13" s="197"/>
      <c r="H13" s="199"/>
      <c r="I13" s="163"/>
      <c r="J13" s="163"/>
      <c r="K13" s="172"/>
      <c r="L13" s="163"/>
      <c r="M13" s="163"/>
      <c r="N13" s="163"/>
      <c r="O13" s="163"/>
      <c r="P13" s="163"/>
      <c r="Q13" s="163"/>
      <c r="R13" s="163"/>
      <c r="S13" s="163"/>
      <c r="T13" s="163"/>
      <c r="U13" s="163"/>
      <c r="V13" s="163"/>
      <c r="W13" s="163"/>
      <c r="X13" s="163"/>
      <c r="Y13" s="163"/>
    </row>
    <row r="14" spans="1:25" ht="0.5" customHeight="1" x14ac:dyDescent="0.35">
      <c r="A14" s="168"/>
      <c r="B14" s="193"/>
      <c r="C14" s="193"/>
      <c r="D14" s="181"/>
      <c r="E14" s="193"/>
      <c r="F14" s="197"/>
      <c r="G14" s="197"/>
      <c r="H14" s="197"/>
      <c r="I14" s="163"/>
      <c r="J14" s="163"/>
      <c r="K14" s="163"/>
      <c r="L14" s="163"/>
      <c r="M14" s="163"/>
      <c r="N14" s="163"/>
      <c r="O14" s="163"/>
      <c r="P14" s="163"/>
      <c r="Q14" s="163"/>
      <c r="R14" s="163"/>
      <c r="S14" s="163"/>
      <c r="T14" s="163"/>
      <c r="U14" s="163"/>
      <c r="V14" s="163"/>
      <c r="W14" s="163"/>
      <c r="X14" s="163"/>
      <c r="Y14" s="163"/>
    </row>
    <row r="15" spans="1:25" hidden="1" x14ac:dyDescent="0.35">
      <c r="A15" s="168"/>
      <c r="B15" s="194"/>
      <c r="C15" s="194"/>
      <c r="D15" s="181"/>
      <c r="E15" s="193"/>
      <c r="F15" s="197"/>
      <c r="G15" s="197"/>
      <c r="H15" s="197"/>
      <c r="I15" s="163"/>
      <c r="J15" s="163"/>
      <c r="K15" s="163"/>
      <c r="L15" s="163"/>
      <c r="M15" s="163"/>
      <c r="N15" s="163"/>
      <c r="O15" s="163"/>
      <c r="P15" s="163"/>
      <c r="Q15" s="163"/>
      <c r="R15" s="163"/>
      <c r="S15" s="163"/>
      <c r="T15" s="163"/>
      <c r="U15" s="163"/>
      <c r="V15" s="163"/>
      <c r="W15" s="163"/>
      <c r="X15" s="163"/>
      <c r="Y15" s="163"/>
    </row>
    <row r="16" spans="1:25" x14ac:dyDescent="0.35">
      <c r="A16" s="188"/>
      <c r="B16" s="192" t="s">
        <v>238</v>
      </c>
      <c r="C16" s="190">
        <v>8</v>
      </c>
      <c r="D16" s="184">
        <f>C16*D6*D5</f>
        <v>32</v>
      </c>
      <c r="E16" s="190" t="s">
        <v>239</v>
      </c>
      <c r="F16" s="197"/>
      <c r="G16" s="197"/>
      <c r="H16" s="197"/>
      <c r="I16" s="163"/>
      <c r="J16" s="163"/>
      <c r="K16" s="163"/>
      <c r="L16" s="163"/>
      <c r="M16" s="163"/>
      <c r="N16" s="163"/>
      <c r="O16" s="163"/>
      <c r="P16" s="163"/>
      <c r="Q16" s="163"/>
      <c r="R16" s="163"/>
      <c r="S16" s="163"/>
      <c r="T16" s="163"/>
      <c r="U16" s="163"/>
      <c r="V16" s="163"/>
      <c r="W16" s="163"/>
      <c r="X16" s="163"/>
      <c r="Y16" s="163"/>
    </row>
    <row r="17" spans="1:25" ht="91" x14ac:dyDescent="0.35">
      <c r="A17" s="195"/>
      <c r="B17" s="192" t="s">
        <v>240</v>
      </c>
      <c r="C17" s="190">
        <f>D8*0.3/D6/D5</f>
        <v>72</v>
      </c>
      <c r="D17" s="181">
        <f>C17*D6*D5</f>
        <v>288</v>
      </c>
      <c r="E17" s="191" t="s">
        <v>241</v>
      </c>
      <c r="F17" s="200"/>
      <c r="G17" s="200"/>
      <c r="H17" s="200"/>
      <c r="I17" s="196"/>
      <c r="J17" s="196"/>
      <c r="K17" s="196"/>
      <c r="L17" s="196"/>
      <c r="M17" s="196"/>
      <c r="N17" s="196"/>
      <c r="O17" s="196"/>
      <c r="P17" s="196"/>
      <c r="Q17" s="196"/>
      <c r="R17" s="196"/>
      <c r="S17" s="196"/>
      <c r="T17" s="196"/>
      <c r="U17" s="196"/>
      <c r="V17" s="196"/>
      <c r="W17" s="196"/>
      <c r="X17" s="196"/>
      <c r="Y17" s="196"/>
    </row>
    <row r="18" spans="1:25" x14ac:dyDescent="0.35">
      <c r="A18" s="197"/>
      <c r="B18" s="197"/>
      <c r="C18" s="197"/>
      <c r="D18" s="197"/>
      <c r="E18" s="197"/>
      <c r="F18" s="197"/>
      <c r="G18" s="197"/>
      <c r="H18" s="197"/>
      <c r="I18" s="163"/>
      <c r="J18" s="163"/>
      <c r="K18" s="163"/>
      <c r="L18" s="163"/>
      <c r="M18" s="163"/>
      <c r="N18" s="163"/>
      <c r="O18" s="163"/>
      <c r="P18" s="163"/>
      <c r="Q18" s="163"/>
      <c r="R18" s="163"/>
      <c r="S18" s="163"/>
      <c r="T18" s="163"/>
      <c r="U18" s="163"/>
      <c r="V18" s="163"/>
      <c r="W18" s="163"/>
      <c r="X18" s="163"/>
      <c r="Y18" s="163"/>
    </row>
    <row r="19" spans="1:25" x14ac:dyDescent="0.35">
      <c r="A19" s="197"/>
      <c r="B19" s="197"/>
      <c r="C19" s="197"/>
      <c r="D19" s="197"/>
      <c r="E19" s="197"/>
      <c r="F19" s="197"/>
      <c r="G19" s="197"/>
      <c r="H19" s="197"/>
      <c r="I19" s="163"/>
      <c r="J19" s="163"/>
      <c r="K19" s="163"/>
      <c r="L19" s="163"/>
      <c r="M19" s="163"/>
      <c r="N19" s="163"/>
      <c r="O19" s="163"/>
      <c r="P19" s="163"/>
      <c r="Q19" s="163"/>
      <c r="R19" s="163"/>
      <c r="S19" s="163"/>
      <c r="T19" s="163"/>
      <c r="U19" s="163"/>
      <c r="V19" s="163"/>
      <c r="W19" s="163"/>
      <c r="X19" s="163"/>
      <c r="Y19" s="163"/>
    </row>
    <row r="20" spans="1:25" x14ac:dyDescent="0.35">
      <c r="A20" s="197"/>
      <c r="B20" s="197"/>
      <c r="C20" s="197"/>
      <c r="D20" s="197"/>
      <c r="E20" s="197"/>
      <c r="F20" s="197"/>
      <c r="G20" s="197"/>
      <c r="H20" s="197"/>
      <c r="I20" s="163"/>
      <c r="J20" s="163"/>
      <c r="K20" s="163"/>
      <c r="L20" s="163"/>
      <c r="M20" s="163"/>
      <c r="N20" s="163"/>
      <c r="O20" s="163"/>
      <c r="P20" s="163"/>
      <c r="Q20" s="163"/>
      <c r="R20" s="163"/>
      <c r="S20" s="163"/>
      <c r="T20" s="163"/>
      <c r="U20" s="163"/>
      <c r="V20" s="163"/>
      <c r="W20" s="163"/>
      <c r="X20" s="163"/>
      <c r="Y20" s="163"/>
    </row>
    <row r="21" spans="1:25" x14ac:dyDescent="0.35">
      <c r="A21" s="201"/>
      <c r="B21" s="201"/>
      <c r="C21" s="201"/>
      <c r="D21" s="201"/>
      <c r="E21" s="201"/>
      <c r="F21" s="201"/>
      <c r="G21" s="201"/>
      <c r="H21" s="201"/>
    </row>
  </sheetData>
  <mergeCells count="3">
    <mergeCell ref="A3:E3"/>
    <mergeCell ref="B4:C4"/>
    <mergeCell ref="B1:F1"/>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5</vt:i4>
      </vt:variant>
    </vt:vector>
  </HeadingPairs>
  <TitlesOfParts>
    <vt:vector size="5" baseType="lpstr">
      <vt:lpstr>2.1.pasākums</vt:lpstr>
      <vt:lpstr>4.2.pasākums</vt:lpstr>
      <vt:lpstr>6.1.pasākums</vt:lpstr>
      <vt:lpstr>4.5. pasākums</vt:lpstr>
      <vt:lpstr>9.1.pasākums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Lelde Kēla</dc:creator>
  <cp:lastModifiedBy>Lelde Kēla</cp:lastModifiedBy>
  <dcterms:created xsi:type="dcterms:W3CDTF">2015-06-05T18:19:34Z</dcterms:created>
  <dcterms:modified xsi:type="dcterms:W3CDTF">2024-12-01T15:51:07Z</dcterms:modified>
</cp:coreProperties>
</file>