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filterPrivacy="1" defaultThemeVersion="124226"/>
  <xr:revisionPtr revIDLastSave="0" documentId="8_{75453DF5-6100-4739-B2FD-5DFF4CAA6CD7}" xr6:coauthVersionLast="47" xr6:coauthVersionMax="47" xr10:uidLastSave="{00000000-0000-0000-0000-000000000000}"/>
  <bookViews>
    <workbookView xWindow="-108" yWindow="-108" windowWidth="23256" windowHeight="12576" xr2:uid="{00000000-000D-0000-FFFF-FFFF00000000}"/>
  </bookViews>
  <sheets>
    <sheet name="Sankcjas"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5" i="3" l="1"/>
  <c r="D55" i="3" l="1"/>
  <c r="D32" i="3" l="1"/>
  <c r="D31" i="3"/>
  <c r="E54" i="3"/>
  <c r="F54" i="3"/>
  <c r="G54" i="3"/>
  <c r="E61" i="3"/>
  <c r="E60" i="3" s="1"/>
  <c r="E14" i="3" s="1"/>
  <c r="F61" i="3"/>
  <c r="F60" i="3" s="1"/>
  <c r="F14" i="3" s="1"/>
  <c r="G61" i="3"/>
  <c r="G60" i="3" s="1"/>
  <c r="G14" i="3" s="1"/>
  <c r="E66" i="3"/>
  <c r="F66" i="3"/>
  <c r="G66" i="3"/>
  <c r="D57" i="3"/>
  <c r="G36" i="3"/>
  <c r="F36" i="3"/>
  <c r="F35" i="3" s="1"/>
  <c r="E36" i="3"/>
  <c r="D36" i="3"/>
  <c r="D35" i="3" l="1"/>
  <c r="E32" i="3"/>
  <c r="E31" i="3" s="1"/>
  <c r="F32" i="3"/>
  <c r="G32" i="3"/>
  <c r="G31" i="3" s="1"/>
  <c r="E44" i="3"/>
  <c r="F44" i="3"/>
  <c r="G44" i="3"/>
  <c r="D44" i="3"/>
  <c r="D69" i="3"/>
  <c r="D68" i="3"/>
  <c r="D67" i="3"/>
  <c r="D64" i="3"/>
  <c r="D61" i="3" s="1"/>
  <c r="D58" i="3"/>
  <c r="D56" i="3"/>
  <c r="D54" i="3" s="1"/>
  <c r="G53" i="3"/>
  <c r="F53" i="3"/>
  <c r="E53" i="3"/>
  <c r="D53" i="3"/>
  <c r="D52" i="3" s="1"/>
  <c r="G51" i="3"/>
  <c r="G45" i="3" s="1"/>
  <c r="F51" i="3"/>
  <c r="F45" i="3" s="1"/>
  <c r="E51" i="3"/>
  <c r="E45" i="3" s="1"/>
  <c r="D43" i="3"/>
  <c r="D41" i="3" s="1"/>
  <c r="G42" i="3"/>
  <c r="F42" i="3"/>
  <c r="E42" i="3"/>
  <c r="G40" i="3"/>
  <c r="G38" i="3" s="1"/>
  <c r="F40" i="3"/>
  <c r="F38" i="3" s="1"/>
  <c r="E40" i="3"/>
  <c r="E38" i="3" s="1"/>
  <c r="D39" i="3"/>
  <c r="D38" i="3" s="1"/>
  <c r="G37" i="3"/>
  <c r="G35" i="3" s="1"/>
  <c r="E37" i="3"/>
  <c r="E35" i="3" s="1"/>
  <c r="D37" i="3"/>
  <c r="G34" i="3"/>
  <c r="F34" i="3"/>
  <c r="E34" i="3"/>
  <c r="D34" i="3"/>
  <c r="D33" i="3" s="1"/>
  <c r="F31" i="3"/>
  <c r="D30" i="3"/>
  <c r="D29" i="3" s="1"/>
  <c r="G30" i="3"/>
  <c r="G29" i="3" s="1"/>
  <c r="F30" i="3"/>
  <c r="F29" i="3" s="1"/>
  <c r="E30" i="3"/>
  <c r="E29" i="3" s="1"/>
  <c r="D28" i="3"/>
  <c r="D27" i="3" s="1"/>
  <c r="E28" i="3"/>
  <c r="E27" i="3" s="1"/>
  <c r="F28" i="3"/>
  <c r="F27" i="3" s="1"/>
  <c r="G28" i="3"/>
  <c r="G27" i="3" s="1"/>
  <c r="D66" i="3" l="1"/>
  <c r="D60" i="3"/>
  <c r="D14" i="3" s="1"/>
  <c r="D26" i="3"/>
  <c r="D13" i="3" s="1"/>
  <c r="G41" i="3"/>
  <c r="E41" i="3"/>
  <c r="F41" i="3"/>
  <c r="E22" i="3" l="1"/>
  <c r="F22" i="3"/>
  <c r="G22" i="3"/>
  <c r="D22" i="3"/>
  <c r="E20" i="3"/>
  <c r="F20" i="3"/>
  <c r="G20" i="3"/>
  <c r="D20" i="3"/>
  <c r="D19" i="3" s="1"/>
  <c r="D24" i="3" l="1"/>
  <c r="D21" i="3"/>
  <c r="G25" i="3"/>
  <c r="F25" i="3"/>
  <c r="E25" i="3"/>
  <c r="D25" i="3"/>
  <c r="G52" i="3"/>
  <c r="F52" i="3"/>
  <c r="E52" i="3"/>
  <c r="G33" i="3"/>
  <c r="F33" i="3"/>
  <c r="E33" i="3"/>
  <c r="E26" i="3" s="1"/>
  <c r="E13" i="3" s="1"/>
  <c r="G26" i="3" l="1"/>
  <c r="G13" i="3" s="1"/>
  <c r="F26" i="3"/>
  <c r="F13" i="3" s="1"/>
  <c r="D23" i="3"/>
  <c r="D18" i="3"/>
  <c r="D17" i="3" l="1"/>
  <c r="D12" i="3" s="1"/>
  <c r="D11" i="3" s="1"/>
  <c r="G19" i="3"/>
  <c r="G24" i="3"/>
  <c r="G23" i="3" s="1"/>
  <c r="E19" i="3"/>
  <c r="E18" i="3" s="1"/>
  <c r="E24" i="3"/>
  <c r="E23" i="3" s="1"/>
  <c r="F19" i="3"/>
  <c r="F24" i="3"/>
  <c r="F23" i="3" s="1"/>
  <c r="G21" i="3"/>
  <c r="F21" i="3"/>
  <c r="E21" i="3"/>
  <c r="F18" i="3" l="1"/>
  <c r="F17" i="3" s="1"/>
  <c r="F12" i="3" s="1"/>
  <c r="G18" i="3"/>
  <c r="E17" i="3"/>
  <c r="E12" i="3" s="1"/>
  <c r="G17" i="3"/>
  <c r="G12" i="3" s="1"/>
  <c r="G11" i="3" l="1"/>
  <c r="F11" i="3"/>
  <c r="E11" i="3"/>
</calcChain>
</file>

<file path=xl/sharedStrings.xml><?xml version="1.0" encoding="utf-8"?>
<sst xmlns="http://schemas.openxmlformats.org/spreadsheetml/2006/main" count="133" uniqueCount="127">
  <si>
    <t>EKK</t>
  </si>
  <si>
    <t>Apraksts</t>
  </si>
  <si>
    <t>Aprēķins</t>
  </si>
  <si>
    <t>turpmāk katru gadu</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</si>
  <si>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</si>
  <si>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</si>
  <si>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</si>
  <si>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</si>
  <si>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</si>
  <si>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</si>
  <si>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</si>
  <si>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</si>
  <si>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</si>
  <si>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</si>
  <si>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Atlīdzība</t>
  </si>
  <si>
    <t>EKK 1100</t>
  </si>
  <si>
    <t xml:space="preserve">Atalgojums </t>
  </si>
  <si>
    <t>EKK 1110</t>
  </si>
  <si>
    <t xml:space="preserve"> Mēnešalga </t>
  </si>
  <si>
    <t>EKK 1140</t>
  </si>
  <si>
    <t xml:space="preserve"> Piemaksas prēmijas un naudas balvas </t>
  </si>
  <si>
    <t>EKK 1200</t>
  </si>
  <si>
    <t>Darba devēja valsts sociālās apdrošināšanas obligātās iemaksas, pabalsti un kompensācijas</t>
  </si>
  <si>
    <t>EKK 1227</t>
  </si>
  <si>
    <t>Darba devēja izdevumi veselības, dzīvības un nelaimes gadījumu apdrošināšanai</t>
  </si>
  <si>
    <t>Preces un pakalpojumi</t>
  </si>
  <si>
    <t>papildu nepieciešamo izdevumu aprēķins</t>
  </si>
  <si>
    <t>2024. gadā</t>
  </si>
  <si>
    <t>Iekšlietu ministrija</t>
  </si>
  <si>
    <t>Finanšu izlūkošanas dienestam</t>
  </si>
  <si>
    <t>EKK 2231</t>
  </si>
  <si>
    <t>Izdevumi iestādes sabiedrisko aktivitāšu īstenošanai</t>
  </si>
  <si>
    <t>EKK 2232</t>
  </si>
  <si>
    <t>Izdevumi par profesionālās darbības pakalpojumiem</t>
  </si>
  <si>
    <t>EKK 2120</t>
  </si>
  <si>
    <t>Ārvalstu mācību, darba un dienesta komandējumi, darba braucieni</t>
  </si>
  <si>
    <t>EKK 2235</t>
  </si>
  <si>
    <t>Izdevumi par saņemtajiem mācību pakalpojumiem</t>
  </si>
  <si>
    <t>Vispārējā darbinieku kvalifikācijas celšana</t>
  </si>
  <si>
    <t>EKK 2250</t>
  </si>
  <si>
    <t>Informācijas tehnoloģiju pakalpojumi</t>
  </si>
  <si>
    <t>EKK 5120</t>
  </si>
  <si>
    <t>Licences, koncesijas un patenti, preču zīmes un līdzīgas tiesības</t>
  </si>
  <si>
    <t>EKK 1210</t>
  </si>
  <si>
    <t xml:space="preserve"> Darba devēja valsts sociālās apdrošināšanas obligātās iemaksas</t>
  </si>
  <si>
    <t>Saskaņā ar aprēķinu: 23,59% no 1110 EKK un 1140 EKK</t>
  </si>
  <si>
    <t>EKK 2239</t>
  </si>
  <si>
    <t>Pārējie neklasificētie pakalpojumi</t>
  </si>
  <si>
    <t>budžeta programma  43.00.00 “Finanšu izlūkošanas dienesta darbība”</t>
  </si>
  <si>
    <t>1.tabula</t>
  </si>
  <si>
    <t>2025. gadā</t>
  </si>
  <si>
    <t xml:space="preserve">2026. gadā </t>
  </si>
  <si>
    <t>EKK 2210</t>
  </si>
  <si>
    <t>Izdevumi par sakaru pakalpojumiem</t>
  </si>
  <si>
    <t>EKK 2311</t>
  </si>
  <si>
    <t>EKK 2312</t>
  </si>
  <si>
    <t>EKK 5238</t>
  </si>
  <si>
    <t>Datortehnika, sakaru un cita biroja tehnika</t>
  </si>
  <si>
    <t>Inventārs</t>
  </si>
  <si>
    <t>Biroja preces</t>
  </si>
  <si>
    <t>2024.gadā un turpmāk - 12 mēneši 2047 EUR x 4 amati + 2735 EUR * 8 amati + 3 056 EUR x 4 amati + 4 107 EUR x 2 amati + 6 100 EUR x 1 amats</t>
  </si>
  <si>
    <t xml:space="preserve">
2024. gadā un turpmāk 
426,86 EUR veselības apdrošināšana   x 19 amata vietas
</t>
  </si>
  <si>
    <t>Sankciju departamenta izveide ar sankciju izpildes un sankciju juridiskām nodaļām.</t>
  </si>
  <si>
    <t>Dalība ES līmeņa darba grupās sankciju jautājumos</t>
  </si>
  <si>
    <t>Apmācības un pieredzes apmaiņas vizītes sankciju jautājumos</t>
  </si>
  <si>
    <t>Vidēji 10 sankciju sertifikātu turētājiem divi profesionālie pasākumi gadā ārzemēs - dalības maksa 500 EUR un komandējuma izdevumi 350 EUR biļete, 50 EUR dienas nauda x 3 dienas, 200 EUR viesnīca x 2 dienas, 50 EUR dienas nauda x 3 dienas</t>
  </si>
  <si>
    <t>Organizēti semināri sankciju likuma subjektiem, kuros skaidroti piemērošanas jautājumi.</t>
  </si>
  <si>
    <t>450 lapas gadā x 6,66 EUR par lapu</t>
  </si>
  <si>
    <t>Juridiski pakalpojumi sarežģītu lietu izskatīšanai un atzinumu sniegšanai</t>
  </si>
  <si>
    <t>Dalības maksa Sertificēto globālo sankciju speciālistu  asociācijā</t>
  </si>
  <si>
    <t>2025.gada un turpmāk 10 sertifikāti x 195 EUR gadā</t>
  </si>
  <si>
    <t>Atlases procesu nodrošināšana</t>
  </si>
  <si>
    <t>Mēdiju monitoringa pakalpojums</t>
  </si>
  <si>
    <t>Ziņu saņemšanas un analīzes sistēmas uzturēšana</t>
  </si>
  <si>
    <t>Sankciju meklētāja uzturēšana</t>
  </si>
  <si>
    <t>Darbības nodrošināšanai nepieciešamas biroja preces</t>
  </si>
  <si>
    <t>Vidēji mēnesi 350 EUR x 12 mēneši</t>
  </si>
  <si>
    <t>Darba vietas izveidošanas izmaksas - monitoru iegāde</t>
  </si>
  <si>
    <t>Darba vietas izveidošanas izmaksas - portatīva datora dokstacīja</t>
  </si>
  <si>
    <t>19 darba vietas x 150 EUR</t>
  </si>
  <si>
    <t>Darba vietas izveidošanas izmaksas - mēbeļu iegāde</t>
  </si>
  <si>
    <t>19 darba vietas x 741 EUR (darba galds un krēsls)</t>
  </si>
  <si>
    <t>IT biroja inventārs</t>
  </si>
  <si>
    <t>Ziņu saņemšanas un analīzes sistēma, iekļaujot lietu pārvaldības moduli</t>
  </si>
  <si>
    <t>Sankciju meklētāja pilnveidošana</t>
  </si>
  <si>
    <t>Darba vietas izveidošanas izmaksas - licences</t>
  </si>
  <si>
    <t>Papildus licenču iegāde neparedzētiem gadījumiem</t>
  </si>
  <si>
    <t>Darba vietas izveidošanas izmaksas - portatīvie datori</t>
  </si>
  <si>
    <t>19 darba vietas x 1300 EUR</t>
  </si>
  <si>
    <t>Darba vietas izveidošanas izmaksas - drukas iekārta</t>
  </si>
  <si>
    <t xml:space="preserve">1 multifunkcionāla drukas iekārta </t>
  </si>
  <si>
    <t>Station mediju monitorings, iekļaujot TV, radio, drukātos un online medijus, ar atslēgas vārdiem.</t>
  </si>
  <si>
    <t>LVRTC infrastruktūras izmantošana FID sankciju informācijas sistēmām</t>
  </si>
  <si>
    <t>Ikgadēja maksas par sistēmas uzturēšanu</t>
  </si>
  <si>
    <t>Atvērto informācijas avotu analīzes risinājuma uzturēšana (OSINT)</t>
  </si>
  <si>
    <t>Ar sankciju saistīto dokumentu tulkošana no latviešu valodas uz angļu valodu un no angļu valodas uz latviešu valodu (un citām valodām ja nepieciešams)</t>
  </si>
  <si>
    <t>IT biroja tehnika</t>
  </si>
  <si>
    <t>Datu apstrādes infrastruktūras pilnveidošana</t>
  </si>
  <si>
    <t>Iesniegto datu saturiskās atbilstības pārbaudes risinājums ar piekļuvi vienotai ārvalstu reģistru datubāzei</t>
  </si>
  <si>
    <t>Ārvalstu reģistru datu un finanšu darījumu analītikas vizualizācijas rīks finanšu noziegumu atklāšanai</t>
  </si>
  <si>
    <t>Ikgadējie biroja tehnikas atjaunošanas  un pilnveidošanas izdevumi 2025.gadā un turpmāk 2 935 EUR</t>
  </si>
  <si>
    <t>Vidēji reizi mēnesi dalība divās darba sanāksmēs Briselē - provizoriskie komandējuma izdevumi - 350 EUR biļete, 60 euro dienas naudas x 3 dienas, 250 EUR limits viesnīcai x 2 dienas</t>
  </si>
  <si>
    <t>19 nodarbinātie x 12 mēneši x 20 EUR</t>
  </si>
  <si>
    <t>8-12 pasākumi gadā x vidēji no 1250 līdz 1875 EUR (tai skaitā tulkojumu un ierakstu nodrošināšana)</t>
  </si>
  <si>
    <t>10 stundas mēnesī x 12 mēneši x 181.50 EUR likme</t>
  </si>
  <si>
    <t>10 nodarbināto sertifikācija x vidēji 1 895 EUR.</t>
  </si>
  <si>
    <t>19 nodarbināto vienlaicīga atlases (īsā laika periodā) procesa nodrošināšana (sludinājums, intervijas) x vidēji 800 EUR</t>
  </si>
  <si>
    <t>Uzturēšanas gada maksa atbilstoši ražotāja cenrādim</t>
  </si>
  <si>
    <t>Vidēji 1 950 EUR ceturksnī sākot ar 2025.gadu.</t>
  </si>
  <si>
    <t>Ikgadējie biroja tehnikas  izdevumi</t>
  </si>
  <si>
    <t>Datu uzglabāšanas infrastruktūras izmaksas 22 000 EUR, starpsistēmu slēgumu izveidošana 5 400 EUR.</t>
  </si>
  <si>
    <t>2024.gadā un turpmāk - 
75% novērtēšanas prēmija no 2047 EUR x 4 amati + 2735 EUR * 8 amati + 3 056 EUR x 4 amati + 4 107 EUR x 2 amati + 6 100 EUR x 1 amats
80% naudas balva no 2047 EUR x 4 amati + 2735 EUR * 8 amati + 3 056 EUR x 4 amati + 4 107 EUR x 2 amati + 6 100 EUR x 1 amats</t>
  </si>
  <si>
    <t>Izdevumi par sakaru pakalpojumiem, tai skaitā stacionāro un mobilo operatoru pakalpojumi</t>
  </si>
  <si>
    <t>Sertificēto globālo sankciju speciālistu sertifikācija (Globāla Sanctions Specialist (CGSS))</t>
  </si>
  <si>
    <t xml:space="preserve">2025.gadā un turpmāk 19 nodarbinātie x 500 EUR gadā. </t>
  </si>
  <si>
    <t>Gada maksa atbilstoši ražotāja sniegtajai informācijai 80 000 EUR</t>
  </si>
  <si>
    <t>Gada maksa atbilstoši ražotājā sniegtajai informācijai 60 000 EUR</t>
  </si>
  <si>
    <t>Pakalpojumi atbilstoši Valsts elektronisko sakaru pakalpojumu centra izmaksām:
- Procesoru jaudas; 
- Operatīvās atmiņas jaudas;
- diska vieta datiem;
- rezerves kopiju nodrošinājums;
- programmatūras licenču nodrošinājums.</t>
  </si>
  <si>
    <t>Darba vietas izveidošanas izmaksas -perifērijas iegāde</t>
  </si>
  <si>
    <t>19 darba vietas x 520 EUR komplekts (autentifikācijas rīks, klaviatūra, pele, kamera, austiņas, telefons)</t>
  </si>
  <si>
    <t>Licenču un integrācijas darbu iegāde  funkciju nodrošināšanai -  2024. gads - pamatmodulis. 2025. gads - slēgta savienojuma izveide. 2026. gads un turpmāk - sistēmas pilnveidošanas darbi</t>
  </si>
  <si>
    <t>19 darba vietas x 1 670 EUR darbībai nepieciešamo licenču komplekts</t>
  </si>
  <si>
    <t>https://sankcijas.fid.gov.lv būtiska pilnveidošana, iekļaujot tai skaitā advancētas meklēšanas un satura pārvaldības funkcijas.</t>
  </si>
  <si>
    <t>11 darba vietas x 2 monitori x 382 EUR + 8 darba vietas x 1 monitors x 382 EUR</t>
  </si>
  <si>
    <t>Pavisam 19 amata vietas</t>
  </si>
  <si>
    <r>
      <t>FID amatalgas noteiktas saskaņā ar Valsts un pašvaldību institūciju amatpersonu un darbinieku atlīdzības likuma 13.</t>
    </r>
    <r>
      <rPr>
        <vertAlign val="superscript"/>
        <sz val="8"/>
        <rFont val="Times New Roman"/>
        <family val="1"/>
        <charset val="186"/>
      </rPr>
      <t>6</t>
    </r>
    <r>
      <rPr>
        <sz val="8"/>
        <rFont val="Times New Roman"/>
        <family val="1"/>
      </rPr>
      <t xml:space="preserve"> pantu un FID iekšējo kārtību "Mēnešalgas noteikšanas kārtība". Aprēķinā izmantotas attiecīgo amata pozīciju vidējās amatalgas FID pielīdzinātās amata grupās. Veikta arī darba sludinājumu izpēte par specialistiem piedāvāto atalgojumu. 
Ņemot vērā plānoto funkciju un uzdevumu dažādību, kā arī citās iestādēs nodarbināto skaitu nepieciešamas </t>
    </r>
    <r>
      <rPr>
        <b/>
        <sz val="8"/>
        <rFont val="Times New Roman"/>
        <family val="1"/>
        <charset val="186"/>
      </rPr>
      <t xml:space="preserve">16 amata vietas </t>
    </r>
    <r>
      <rPr>
        <sz val="8"/>
        <rFont val="Times New Roman"/>
        <family val="1"/>
      </rPr>
      <t>Sankciju departamentā un papildus</t>
    </r>
    <r>
      <rPr>
        <b/>
        <sz val="8"/>
        <rFont val="Times New Roman"/>
        <family val="1"/>
        <charset val="186"/>
      </rPr>
      <t xml:space="preserve"> 3 amata vieta</t>
    </r>
    <r>
      <rPr>
        <sz val="8"/>
        <rFont val="Times New Roman"/>
        <family val="1"/>
      </rPr>
      <t xml:space="preserve">s atbalsta funkciju paplašināšanai - informāciju tehnoloģiju un lietvedības jomā. Amata sadalījums pēc grupām un vidējā algas apmēra:  
- 10.amatu grupā divi jaunākie analītiķi, viens jurists un viens lietvedis ar vidējo atalgojumu 2 047 EUR.
- 11. amatu grupā astoņi amati - četri analītiķi, divi juristi, viens programmētājs un administrators ar vidējo algu 2 735 EUR.
- 12.amatu grupā četri amati - divi vecākie analītiķi un divi vecākie juristi ar vidējo algu 3 056 EUR
- 14.amatu grupā divi amati - nodaļu vadītāji ar vidējo algu 4 107 EUR
- 16.amatu grupā ar 1 amatu - departamenta direktors ar vidējo algu līdz 6 100 EUR. </t>
    </r>
  </si>
  <si>
    <t xml:space="preserve"> II pielikums 
Konceptuālajam ziņojumam
“Par Eiropas Savienības tiesību aktos atļautajiem izņēmumiem sankciju piemērošanā un Latvijas kompetentajām iestādēm šo izņēmumu piemērošanā”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</si>
</sst>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color theme="1"/>
      <name val="Calibri"/>
      <family val="2"/>
      <scheme val="minor"/>
    </font>
    <font>
      <sz val="11"/>
      <color theme="1"/>
      <name val="Calibri"/>
      <family val="2"/>
      <scheme val="minor"/>
    </font>
    <font>
      <sz val="10"/>
      <name val="Arial"/>
      <family val="2"/>
      <charset val="186"/>
    </font>
    <font>
      <sz val="8"/>
      <name val="Times New Roman"/>
      <family val="1"/>
      <charset val="186"/>
    </font>
    <font>
      <sz val="11"/>
      <name val="Calibri"/>
      <family val="2"/>
      <scheme val="minor"/>
    </font>
    <font>
      <b/>
      <sz val="8"/>
      <name val="Times New Roman"/>
      <family val="1"/>
      <charset val="186"/>
    </font>
    <font>
      <sz val="9"/>
      <name val="Times New Roman"/>
      <family val="1"/>
      <charset val="186"/>
    </font>
    <font>
      <sz val="11"/>
      <name val="Times New Roman"/>
      <family val="1"/>
      <charset val="186"/>
    </font>
    <font>
      <sz val="12"/>
      <name val="Times New Roman"/>
      <family val="1"/>
      <charset val="186"/>
    </font>
    <font>
      <b/>
      <sz val="12"/>
      <name val="Times New Roman"/>
      <family val="1"/>
      <charset val="186"/>
    </font>
    <font>
      <sz val="8"/>
      <name val="Times New Roman"/>
      <family val="1"/>
    </font>
    <font>
      <vertAlign val="superscript"/>
      <sz val="8"/>
      <name val="Times New Roman"/>
      <family val="1"/>
      <charset val="186"/>
    </font>
    <font>
      <b/>
      <sz val="11"/>
      <name val="Calibri"/>
      <family val="2"/>
      <charset val="186"/>
      <scheme val="minor"/>
    </font>
    <font>
      <b/>
      <sz val="9"/>
      <name val="Times New Roman"/>
      <family val="1"/>
      <charset val="186"/>
    </font>
    <font>
      <sz val="11"/>
      <name val="Times New Roman"/>
      <family val="1"/>
    </font>
    <font>
      <sz val="9"/>
      <name val="Times New Roman"/>
      <family val="1"/>
    </font>
  </fonts>
  <fills count="7">
    <fill>
      <patternFill patternType="none"/>
    </fill>
    <fill>
      <patternFill patternType="gray125"/>
    </fill>
    <fill>
      <patternFill patternType="solid">
        <fgColor rgb="FFD9E1F2"/>
        <bgColor indexed="64"/>
      </patternFill>
    </fill>
    <fill>
      <patternFill patternType="solid">
        <fgColor rgb="FFE7E6E6"/>
        <bgColor indexed="64"/>
      </patternFill>
    </fill>
    <fill>
      <patternFill patternType="solid">
        <fgColor theme="0"/>
        <bgColor indexed="64"/>
      </patternFill>
    </fill>
    <fill>
      <patternFill patternType="solid">
        <fgColor theme="1" tint="0.499984740745262"/>
        <bgColor indexed="64"/>
      </patternFill>
    </fill>
    <fill>
      <patternFill patternType="solid">
        <fgColor theme="0" tint="-0.14999847407452621"/>
        <bgColor indexed="64"/>
      </patternFill>
    </fill>
  </fills>
  <borders count="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s>
  <cellStyleXfs count="3">
    <xf numFmtId="0" fontId="0" fillId="0" borderId="0"/>
    <xf numFmtId="43" fontId="1" fillId="0" borderId="0" applyFont="0" applyFill="0" applyBorder="0" applyAlignment="0" applyProtection="0"/>
    <xf numFmtId="0" fontId="2" fillId="0" borderId="0"/>
  </cellStyleXfs>
  <cellXfs count="51">
    <xf numFmtId="0" fontId="0" fillId="0" borderId="0" xfId="0"/>
    <xf numFmtId="0" fontId="4" fillId="0" borderId="1" xfId="0" applyFont="1" applyBorder="1"/>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horizontal="right" vertical="center" wrapText="1"/>
    </xf>
    <xf numFmtId="0" fontId="6" fillId="0" borderId="1" xfId="0" applyFont="1" applyBorder="1" applyAlignment="1">
      <alignment vertical="top" wrapText="1"/>
    </xf>
    <xf numFmtId="0" fontId="5" fillId="5" borderId="1" xfId="0" applyFont="1" applyFill="1" applyBorder="1" applyAlignment="1">
      <alignment vertical="center" wrapText="1"/>
    </xf>
    <xf numFmtId="0" fontId="5" fillId="5" borderId="1" xfId="0" applyFont="1" applyFill="1" applyBorder="1" applyAlignment="1">
      <alignment horizontal="center" vertical="center" wrapText="1"/>
    </xf>
    <xf numFmtId="0" fontId="5" fillId="6" borderId="1" xfId="0" applyFont="1" applyFill="1" applyBorder="1" applyAlignment="1">
      <alignment vertical="center" wrapText="1"/>
    </xf>
    <xf numFmtId="0" fontId="5" fillId="6" borderId="1" xfId="0" applyFont="1" applyFill="1" applyBorder="1" applyAlignment="1">
      <alignment horizontal="center" vertical="center" wrapText="1"/>
    </xf>
    <xf numFmtId="3" fontId="5" fillId="6" borderId="1" xfId="0" applyNumberFormat="1" applyFont="1" applyFill="1" applyBorder="1" applyAlignment="1">
      <alignment vertical="center" wrapText="1"/>
    </xf>
    <xf numFmtId="0" fontId="4" fillId="0" borderId="0" xfId="0" applyFont="1"/>
    <xf numFmtId="0" fontId="7" fillId="0" borderId="0" xfId="0" applyFont="1"/>
    <xf numFmtId="3" fontId="7" fillId="0" borderId="0" xfId="0" applyNumberFormat="1" applyFont="1"/>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3" fontId="3" fillId="2" borderId="1" xfId="0" applyNumberFormat="1" applyFont="1" applyFill="1" applyBorder="1" applyAlignment="1">
      <alignment vertical="center" wrapText="1"/>
    </xf>
    <xf numFmtId="3" fontId="5" fillId="2" borderId="1" xfId="0" applyNumberFormat="1" applyFont="1" applyFill="1" applyBorder="1" applyAlignment="1">
      <alignment horizontal="center" vertical="center"/>
    </xf>
    <xf numFmtId="3" fontId="5" fillId="2" borderId="1" xfId="0" applyNumberFormat="1" applyFont="1" applyFill="1" applyBorder="1" applyAlignment="1">
      <alignment horizontal="right" vertical="center"/>
    </xf>
    <xf numFmtId="3" fontId="5" fillId="5" borderId="1" xfId="0" applyNumberFormat="1" applyFont="1" applyFill="1" applyBorder="1" applyAlignment="1">
      <alignment horizontal="right" vertical="center"/>
    </xf>
    <xf numFmtId="3" fontId="5" fillId="3" borderId="1" xfId="0" applyNumberFormat="1" applyFont="1" applyFill="1" applyBorder="1" applyAlignment="1">
      <alignment horizontal="right" vertical="center"/>
    </xf>
    <xf numFmtId="0" fontId="3" fillId="3" borderId="1" xfId="0" applyFont="1" applyFill="1" applyBorder="1" applyAlignment="1">
      <alignment vertical="center"/>
    </xf>
    <xf numFmtId="0" fontId="3" fillId="3" borderId="1" xfId="0" applyFont="1" applyFill="1" applyBorder="1" applyAlignment="1">
      <alignment vertical="center" wrapText="1"/>
    </xf>
    <xf numFmtId="0" fontId="5" fillId="3" borderId="1" xfId="0" applyFont="1" applyFill="1" applyBorder="1" applyAlignment="1">
      <alignment vertical="center" wrapText="1"/>
    </xf>
    <xf numFmtId="3" fontId="5" fillId="0" borderId="1" xfId="0" applyNumberFormat="1" applyFont="1" applyBorder="1" applyAlignment="1">
      <alignment horizontal="right" vertical="center"/>
    </xf>
    <xf numFmtId="3" fontId="10" fillId="0" borderId="1" xfId="0" applyNumberFormat="1" applyFont="1" applyBorder="1" applyAlignment="1">
      <alignment horizontal="right" vertical="center"/>
    </xf>
    <xf numFmtId="3" fontId="10" fillId="0" borderId="1" xfId="0" applyNumberFormat="1" applyFont="1" applyBorder="1" applyAlignment="1">
      <alignment horizontal="right" vertical="center" wrapText="1"/>
    </xf>
    <xf numFmtId="0" fontId="4" fillId="0" borderId="0" xfId="0" applyFont="1" applyAlignment="1">
      <alignment vertical="top"/>
    </xf>
    <xf numFmtId="0" fontId="5" fillId="0" borderId="1" xfId="0" applyFont="1" applyBorder="1" applyAlignment="1">
      <alignment vertical="center" wrapText="1"/>
    </xf>
    <xf numFmtId="0" fontId="10" fillId="0" borderId="1" xfId="0" applyFont="1" applyBorder="1" applyAlignment="1">
      <alignment vertical="center" wrapText="1"/>
    </xf>
    <xf numFmtId="0" fontId="3" fillId="0" borderId="1" xfId="0" applyFont="1" applyBorder="1" applyAlignment="1">
      <alignment horizontal="justify" vertical="center" wrapText="1"/>
    </xf>
    <xf numFmtId="3" fontId="3" fillId="0" borderId="1" xfId="0" applyNumberFormat="1" applyFont="1" applyBorder="1" applyAlignment="1">
      <alignment horizontal="right" vertical="center"/>
    </xf>
    <xf numFmtId="3" fontId="4" fillId="0" borderId="1" xfId="0" applyNumberFormat="1" applyFont="1" applyBorder="1"/>
    <xf numFmtId="0" fontId="5" fillId="0" borderId="4" xfId="0" applyFont="1" applyBorder="1" applyAlignment="1">
      <alignment vertical="center" wrapText="1"/>
    </xf>
    <xf numFmtId="0" fontId="12" fillId="0" borderId="5" xfId="0" applyFont="1" applyBorder="1"/>
    <xf numFmtId="3" fontId="13" fillId="0" borderId="1" xfId="0" applyNumberFormat="1" applyFont="1" applyBorder="1" applyAlignment="1">
      <alignment vertical="center"/>
    </xf>
    <xf numFmtId="0" fontId="14" fillId="0" borderId="1" xfId="0" applyFont="1" applyBorder="1"/>
    <xf numFmtId="3" fontId="15" fillId="0" borderId="1" xfId="0" applyNumberFormat="1" applyFont="1" applyBorder="1" applyAlignment="1">
      <alignment vertical="center"/>
    </xf>
    <xf numFmtId="0" fontId="12" fillId="0" borderId="1" xfId="0" applyFont="1" applyBorder="1"/>
    <xf numFmtId="0" fontId="3" fillId="0" borderId="4" xfId="0" applyFont="1" applyBorder="1" applyAlignment="1">
      <alignment vertical="center" wrapText="1"/>
    </xf>
    <xf numFmtId="3" fontId="3" fillId="0" borderId="0" xfId="0" applyNumberFormat="1" applyFont="1" applyAlignment="1">
      <alignment horizontal="right" vertical="center"/>
    </xf>
    <xf numFmtId="3" fontId="15" fillId="0" borderId="6" xfId="0" applyNumberFormat="1" applyFont="1" applyBorder="1" applyAlignment="1">
      <alignment vertical="center"/>
    </xf>
    <xf numFmtId="0" fontId="5" fillId="4" borderId="1" xfId="0" applyFont="1" applyFill="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8" fillId="0" borderId="0" xfId="0" applyFont="1" applyAlignment="1">
      <alignment horizontal="center"/>
    </xf>
    <xf numFmtId="0" fontId="9" fillId="0" borderId="0" xfId="0" applyFont="1" applyAlignment="1">
      <alignment horizontal="center" vertical="center"/>
    </xf>
    <xf numFmtId="0" fontId="7" fillId="0" borderId="0" xfId="0" applyFont="1" applyAlignment="1">
      <alignment horizontal="right" vertical="center" wrapText="1"/>
    </xf>
    <xf numFmtId="0" fontId="8" fillId="0" borderId="0" xfId="0" applyFont="1" applyAlignment="1">
      <alignment horizontal="center" vertical="center"/>
    </xf>
  </cellXfs>
  <cellStyles count="3">
    <cellStyle name="Comma 2" xfId="1" xr:uid="{00000000-0005-0000-0000-000000000000}"/>
    <cellStyle name="Normal" xfId="0" builtinId="0"/>
    <cellStyle name="Normal 2 10" xfId="2" xr:uid="{00000000-0005-0000-0000-000002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0"/>
  <sheetViews>
    <sheetView tabSelected="1" zoomScale="110" zoomScaleNormal="110" zoomScaleSheetLayoutView="85" workbookViewId="0">
      <selection activeCell="M6" sqref="M6"/>
    </sheetView>
  </sheetViews>
  <sheetFormatPr defaultColWidth="9.109375" defaultRowHeight="14.4" x14ac:dyDescent="0.3"/>
  <cols>
    <col min="1" max="1" width="9.109375" style="11"/>
    <col min="2" max="2" width="19.44140625" style="11" customWidth="1"/>
    <col min="3" max="3" width="25.33203125" style="11" customWidth="1"/>
    <col min="4" max="4" width="10.109375" style="11" bestFit="1" customWidth="1"/>
    <col min="5" max="5" width="10.33203125" style="11" customWidth="1"/>
    <col min="6" max="6" width="9.109375" style="11"/>
    <col min="7" max="7" width="10.6640625" style="11" customWidth="1"/>
    <col min="8" max="8" width="30.33203125" style="11" customWidth="1"/>
    <col min="9" max="16384" width="9.109375" style="11"/>
  </cols>
  <sheetData>
    <row r="1" spans="1:8" ht="77.25" customHeight="1" x14ac:dyDescent="0.3">
      <c r="E1" s="49" t="s">
        <v>126</v>
      </c>
      <c r="F1" s="49"/>
      <c r="G1" s="49"/>
      <c r="H1" s="49"/>
    </row>
    <row r="2" spans="1:8" ht="21" customHeight="1" x14ac:dyDescent="0.3">
      <c r="A2" s="49" t="s">
        <v>49</v>
      </c>
      <c r="B2" s="49"/>
      <c r="C2" s="49"/>
      <c r="D2" s="49"/>
      <c r="E2" s="49"/>
      <c r="F2" s="49"/>
      <c r="G2" s="49"/>
      <c r="H2" s="49"/>
    </row>
    <row r="3" spans="1:8" s="12" customFormat="1" ht="15.6" x14ac:dyDescent="0.3">
      <c r="A3" s="47" t="s">
        <v>28</v>
      </c>
      <c r="B3" s="47"/>
      <c r="C3" s="47"/>
      <c r="D3" s="47"/>
      <c r="E3" s="47"/>
      <c r="F3" s="47"/>
      <c r="G3" s="47"/>
      <c r="H3" s="47"/>
    </row>
    <row r="4" spans="1:8" ht="14.4" customHeight="1" x14ac:dyDescent="0.3">
      <c r="A4" s="48" t="s">
        <v>29</v>
      </c>
      <c r="B4" s="48"/>
      <c r="C4" s="48"/>
      <c r="D4" s="48"/>
      <c r="E4" s="48"/>
      <c r="F4" s="48"/>
      <c r="G4" s="48"/>
      <c r="H4" s="48"/>
    </row>
    <row r="5" spans="1:8" ht="14.4" customHeight="1" x14ac:dyDescent="0.3">
      <c r="A5" s="50" t="s">
        <v>48</v>
      </c>
      <c r="B5" s="50"/>
      <c r="C5" s="50"/>
      <c r="D5" s="50"/>
      <c r="E5" s="50"/>
      <c r="F5" s="50"/>
      <c r="G5" s="50"/>
      <c r="H5" s="50"/>
    </row>
    <row r="6" spans="1:8" ht="14.4" customHeight="1" x14ac:dyDescent="0.3">
      <c r="A6" s="48" t="s">
        <v>26</v>
      </c>
      <c r="B6" s="48"/>
      <c r="C6" s="48"/>
      <c r="D6" s="48"/>
      <c r="E6" s="48"/>
      <c r="F6" s="48"/>
      <c r="G6" s="48"/>
      <c r="H6" s="48"/>
    </row>
    <row r="7" spans="1:8" s="12" customFormat="1" ht="13.8" x14ac:dyDescent="0.25"/>
    <row r="8" spans="1:8" s="12" customFormat="1" ht="13.8" x14ac:dyDescent="0.25">
      <c r="D8" s="13"/>
      <c r="E8" s="13"/>
      <c r="F8" s="13"/>
      <c r="G8" s="13"/>
    </row>
    <row r="9" spans="1:8" s="12" customFormat="1" ht="13.8" x14ac:dyDescent="0.25">
      <c r="A9" s="44" t="s">
        <v>0</v>
      </c>
      <c r="B9" s="43" t="s">
        <v>1</v>
      </c>
      <c r="C9" s="43" t="s">
        <v>2</v>
      </c>
      <c r="D9" s="45" t="s">
        <v>27</v>
      </c>
      <c r="E9" s="44" t="s">
        <v>50</v>
      </c>
      <c r="F9" s="44" t="s">
        <v>51</v>
      </c>
      <c r="G9" s="43" t="s">
        <v>3</v>
      </c>
      <c r="H9" s="43" t="s">
        <v>4</v>
      </c>
    </row>
    <row r="10" spans="1:8" s="12" customFormat="1" ht="13.8" x14ac:dyDescent="0.25">
      <c r="A10" s="44"/>
      <c r="B10" s="43"/>
      <c r="C10" s="43"/>
      <c r="D10" s="46"/>
      <c r="E10" s="44"/>
      <c r="F10" s="44"/>
      <c r="G10" s="43"/>
      <c r="H10" s="43"/>
    </row>
    <row r="11" spans="1:8" s="12" customFormat="1" ht="13.8" x14ac:dyDescent="0.25">
      <c r="A11" s="14"/>
      <c r="B11" s="15" t="s">
        <v>5</v>
      </c>
      <c r="C11" s="16"/>
      <c r="D11" s="17">
        <f>D12+D13+D14+D15</f>
        <v>1547164.3</v>
      </c>
      <c r="E11" s="17">
        <f t="shared" ref="E11:G11" si="0">E12+E13+E14+E15</f>
        <v>1418534.3</v>
      </c>
      <c r="F11" s="17">
        <f t="shared" si="0"/>
        <v>1418534.3</v>
      </c>
      <c r="G11" s="17">
        <f t="shared" si="0"/>
        <v>1418534.3</v>
      </c>
      <c r="H11" s="18"/>
    </row>
    <row r="12" spans="1:8" s="12" customFormat="1" ht="13.8" x14ac:dyDescent="0.25">
      <c r="A12" s="14" t="s">
        <v>6</v>
      </c>
      <c r="B12" s="15" t="s">
        <v>7</v>
      </c>
      <c r="C12" s="16"/>
      <c r="D12" s="17">
        <f>D17</f>
        <v>956059.3</v>
      </c>
      <c r="E12" s="17">
        <f t="shared" ref="E12:G12" si="1">E17</f>
        <v>956059.3</v>
      </c>
      <c r="F12" s="17">
        <f t="shared" si="1"/>
        <v>956059.3</v>
      </c>
      <c r="G12" s="17">
        <f t="shared" si="1"/>
        <v>956059.3</v>
      </c>
      <c r="H12" s="18"/>
    </row>
    <row r="13" spans="1:8" s="12" customFormat="1" ht="16.5" customHeight="1" x14ac:dyDescent="0.25">
      <c r="A13" s="14" t="s">
        <v>8</v>
      </c>
      <c r="B13" s="15" t="s">
        <v>9</v>
      </c>
      <c r="C13" s="16"/>
      <c r="D13" s="17">
        <f>D26</f>
        <v>389275</v>
      </c>
      <c r="E13" s="17">
        <f t="shared" ref="E13:G13" si="2">E26</f>
        <v>398540</v>
      </c>
      <c r="F13" s="17">
        <f t="shared" si="2"/>
        <v>398540</v>
      </c>
      <c r="G13" s="17">
        <f t="shared" si="2"/>
        <v>398540</v>
      </c>
      <c r="H13" s="18"/>
    </row>
    <row r="14" spans="1:8" s="12" customFormat="1" ht="17.25" customHeight="1" x14ac:dyDescent="0.25">
      <c r="A14" s="14" t="s">
        <v>10</v>
      </c>
      <c r="B14" s="15" t="s">
        <v>11</v>
      </c>
      <c r="C14" s="16"/>
      <c r="D14" s="17">
        <f>D60</f>
        <v>201830</v>
      </c>
      <c r="E14" s="17">
        <f t="shared" ref="E14:G14" si="3">E60</f>
        <v>63935</v>
      </c>
      <c r="F14" s="17">
        <f t="shared" si="3"/>
        <v>63935</v>
      </c>
      <c r="G14" s="17">
        <f t="shared" si="3"/>
        <v>63935</v>
      </c>
      <c r="H14" s="18"/>
    </row>
    <row r="15" spans="1:8" s="12" customFormat="1" ht="26.25" customHeight="1" x14ac:dyDescent="0.25">
      <c r="A15" s="14" t="s">
        <v>12</v>
      </c>
      <c r="B15" s="15" t="s">
        <v>13</v>
      </c>
      <c r="C15" s="16"/>
      <c r="D15" s="17">
        <v>0</v>
      </c>
      <c r="E15" s="17">
        <v>0</v>
      </c>
      <c r="F15" s="17">
        <v>0</v>
      </c>
      <c r="G15" s="17">
        <v>0</v>
      </c>
      <c r="H15" s="18"/>
    </row>
    <row r="16" spans="1:8" ht="30" customHeight="1" x14ac:dyDescent="0.3">
      <c r="A16" s="42"/>
      <c r="B16" s="42"/>
      <c r="C16" s="42"/>
      <c r="D16" s="42"/>
      <c r="E16" s="42"/>
      <c r="F16" s="42"/>
      <c r="G16" s="42"/>
      <c r="H16" s="42"/>
    </row>
    <row r="17" spans="1:10" x14ac:dyDescent="0.3">
      <c r="A17" s="6" t="s">
        <v>6</v>
      </c>
      <c r="B17" s="7" t="s">
        <v>14</v>
      </c>
      <c r="C17" s="6"/>
      <c r="D17" s="19">
        <f>SUM(D18,D23)</f>
        <v>956059.3</v>
      </c>
      <c r="E17" s="19">
        <f>SUM(E18,E23)</f>
        <v>956059.3</v>
      </c>
      <c r="F17" s="19">
        <f>SUM(F18,F23)</f>
        <v>956059.3</v>
      </c>
      <c r="G17" s="19">
        <f>SUM(G18,G23)</f>
        <v>956059.3</v>
      </c>
      <c r="H17" s="20"/>
    </row>
    <row r="18" spans="1:10" x14ac:dyDescent="0.3">
      <c r="A18" s="21" t="s">
        <v>15</v>
      </c>
      <c r="B18" s="22" t="s">
        <v>16</v>
      </c>
      <c r="C18" s="23"/>
      <c r="D18" s="20">
        <f>SUM(D19,D21)</f>
        <v>767011.3</v>
      </c>
      <c r="E18" s="20">
        <f t="shared" ref="E18:G18" si="4">SUM(E19,E21)</f>
        <v>767011.3</v>
      </c>
      <c r="F18" s="20">
        <f t="shared" si="4"/>
        <v>767011.3</v>
      </c>
      <c r="G18" s="20">
        <f t="shared" si="4"/>
        <v>767011.3</v>
      </c>
      <c r="H18" s="20"/>
    </row>
    <row r="19" spans="1:10" x14ac:dyDescent="0.3">
      <c r="A19" s="4" t="s">
        <v>17</v>
      </c>
      <c r="B19" s="2" t="s">
        <v>18</v>
      </c>
      <c r="C19" s="2"/>
      <c r="D19" s="24">
        <f>SUM(D20)</f>
        <v>679272</v>
      </c>
      <c r="E19" s="24">
        <f t="shared" ref="E19:G19" si="5">SUM(E20)</f>
        <v>679272</v>
      </c>
      <c r="F19" s="24">
        <f t="shared" si="5"/>
        <v>679272</v>
      </c>
      <c r="G19" s="24">
        <f t="shared" si="5"/>
        <v>679272</v>
      </c>
      <c r="H19" s="24" t="s">
        <v>124</v>
      </c>
    </row>
    <row r="20" spans="1:10" ht="329.25" customHeight="1" x14ac:dyDescent="0.3">
      <c r="A20" s="4"/>
      <c r="B20" s="2" t="s">
        <v>62</v>
      </c>
      <c r="C20" s="2" t="s">
        <v>60</v>
      </c>
      <c r="D20" s="25">
        <f>(2047*4+2735*8+3056*4+2*4107+6100)*12</f>
        <v>679272</v>
      </c>
      <c r="E20" s="25">
        <f t="shared" ref="E20:G20" si="6">(2047*4+2735*8+3056*4+2*4107+6100)*12</f>
        <v>679272</v>
      </c>
      <c r="F20" s="25">
        <f t="shared" si="6"/>
        <v>679272</v>
      </c>
      <c r="G20" s="25">
        <f t="shared" si="6"/>
        <v>679272</v>
      </c>
      <c r="H20" s="26" t="s">
        <v>125</v>
      </c>
      <c r="J20" s="27"/>
    </row>
    <row r="21" spans="1:10" ht="20.399999999999999" x14ac:dyDescent="0.3">
      <c r="A21" s="4" t="s">
        <v>19</v>
      </c>
      <c r="B21" s="2" t="s">
        <v>20</v>
      </c>
      <c r="C21" s="28"/>
      <c r="D21" s="24">
        <f>D22</f>
        <v>87739.3</v>
      </c>
      <c r="E21" s="24">
        <f t="shared" ref="E21:G21" si="7">E22</f>
        <v>87739.3</v>
      </c>
      <c r="F21" s="24">
        <f t="shared" si="7"/>
        <v>87739.3</v>
      </c>
      <c r="G21" s="24">
        <f t="shared" si="7"/>
        <v>87739.3</v>
      </c>
      <c r="H21" s="24"/>
    </row>
    <row r="22" spans="1:10" ht="114" customHeight="1" x14ac:dyDescent="0.3">
      <c r="A22" s="4"/>
      <c r="B22" s="2"/>
      <c r="C22" s="29" t="s">
        <v>111</v>
      </c>
      <c r="D22" s="25">
        <f>(2047*4+2735*8+3056*4+2*4107+6100)*0.75+(2047*4+2735*8+3056*4+2*4107+6100)*0.8</f>
        <v>87739.3</v>
      </c>
      <c r="E22" s="25">
        <f t="shared" ref="E22:G22" si="8">(2047*4+2735*8+3056*4+2*4107+6100)*0.75+(2047*4+2735*8+3056*4+2*4107+6100)*0.8</f>
        <v>87739.3</v>
      </c>
      <c r="F22" s="25">
        <f t="shared" si="8"/>
        <v>87739.3</v>
      </c>
      <c r="G22" s="25">
        <f t="shared" si="8"/>
        <v>87739.3</v>
      </c>
      <c r="H22" s="24"/>
    </row>
    <row r="23" spans="1:10" ht="55.5" customHeight="1" x14ac:dyDescent="0.3">
      <c r="A23" s="2" t="s">
        <v>21</v>
      </c>
      <c r="B23" s="30" t="s">
        <v>22</v>
      </c>
      <c r="C23" s="2"/>
      <c r="D23" s="24">
        <f>D24+D25</f>
        <v>189048</v>
      </c>
      <c r="E23" s="24">
        <f t="shared" ref="E23:G23" si="9">E24+E25</f>
        <v>189048</v>
      </c>
      <c r="F23" s="24">
        <f t="shared" si="9"/>
        <v>189048</v>
      </c>
      <c r="G23" s="24">
        <f t="shared" si="9"/>
        <v>189048</v>
      </c>
      <c r="H23" s="31"/>
    </row>
    <row r="24" spans="1:10" ht="30.6" x14ac:dyDescent="0.3">
      <c r="A24" s="4" t="s">
        <v>43</v>
      </c>
      <c r="B24" s="30" t="s">
        <v>44</v>
      </c>
      <c r="C24" s="2" t="s">
        <v>45</v>
      </c>
      <c r="D24" s="25">
        <f>ROUND(SUM(D22,D20)*0.2359,0)</f>
        <v>180938</v>
      </c>
      <c r="E24" s="25">
        <f>ROUND(SUM(E22,E20)*0.2359,0)</f>
        <v>180938</v>
      </c>
      <c r="F24" s="25">
        <f>ROUND(SUM(F22,F20)*0.2359,0)</f>
        <v>180938</v>
      </c>
      <c r="G24" s="25">
        <f>ROUND(SUM(G22,G20)*0.2359,0)</f>
        <v>180938</v>
      </c>
      <c r="H24" s="31"/>
    </row>
    <row r="25" spans="1:10" ht="47.25" customHeight="1" x14ac:dyDescent="0.3">
      <c r="A25" s="4" t="s">
        <v>23</v>
      </c>
      <c r="B25" s="2" t="s">
        <v>24</v>
      </c>
      <c r="C25" s="2" t="s">
        <v>61</v>
      </c>
      <c r="D25" s="25">
        <f>ROUND(19*426.86,0)</f>
        <v>8110</v>
      </c>
      <c r="E25" s="25">
        <f>ROUND(19*426.86,0)</f>
        <v>8110</v>
      </c>
      <c r="F25" s="25">
        <f>ROUND(19*426.86,0)</f>
        <v>8110</v>
      </c>
      <c r="G25" s="25">
        <f>ROUND(19*426.86,0)</f>
        <v>8110</v>
      </c>
      <c r="H25" s="32"/>
    </row>
    <row r="26" spans="1:10" x14ac:dyDescent="0.3">
      <c r="A26" s="8" t="s">
        <v>8</v>
      </c>
      <c r="B26" s="9" t="s">
        <v>25</v>
      </c>
      <c r="C26" s="8"/>
      <c r="D26" s="10">
        <f>SUM(D27,D29,D31,D33,D38,D35,D41,D45,D52,D54)</f>
        <v>389275</v>
      </c>
      <c r="E26" s="10">
        <f t="shared" ref="E26:G26" si="10">SUM(E27,E29,E31,E33,E38,E35,E41,E45,E52,E54)</f>
        <v>398540</v>
      </c>
      <c r="F26" s="10">
        <f t="shared" si="10"/>
        <v>398540</v>
      </c>
      <c r="G26" s="10">
        <f t="shared" si="10"/>
        <v>398540</v>
      </c>
      <c r="H26" s="31"/>
    </row>
    <row r="27" spans="1:10" ht="41.25" customHeight="1" x14ac:dyDescent="0.3">
      <c r="A27" s="28" t="s">
        <v>34</v>
      </c>
      <c r="B27" s="33" t="s">
        <v>35</v>
      </c>
      <c r="C27" s="34"/>
      <c r="D27" s="35">
        <f>SUM(D28)</f>
        <v>24720</v>
      </c>
      <c r="E27" s="35">
        <f t="shared" ref="E27:G27" si="11">SUM(E28)</f>
        <v>24720</v>
      </c>
      <c r="F27" s="35">
        <f t="shared" si="11"/>
        <v>24720</v>
      </c>
      <c r="G27" s="35">
        <f t="shared" si="11"/>
        <v>24720</v>
      </c>
      <c r="H27" s="36"/>
    </row>
    <row r="28" spans="1:10" ht="66.75" customHeight="1" x14ac:dyDescent="0.3">
      <c r="A28" s="2"/>
      <c r="B28" s="2" t="s">
        <v>63</v>
      </c>
      <c r="C28" s="2" t="s">
        <v>101</v>
      </c>
      <c r="D28" s="37">
        <f>2*12*(350+2*250+3*60)</f>
        <v>24720</v>
      </c>
      <c r="E28" s="37">
        <f t="shared" ref="E28:G28" si="12">2*12*(350+2*250+3*60)</f>
        <v>24720</v>
      </c>
      <c r="F28" s="37">
        <f t="shared" si="12"/>
        <v>24720</v>
      </c>
      <c r="G28" s="37">
        <f t="shared" si="12"/>
        <v>24720</v>
      </c>
      <c r="H28" s="36"/>
    </row>
    <row r="29" spans="1:10" ht="45.75" customHeight="1" x14ac:dyDescent="0.3">
      <c r="A29" s="28" t="s">
        <v>34</v>
      </c>
      <c r="B29" s="28" t="s">
        <v>35</v>
      </c>
      <c r="C29" s="38"/>
      <c r="D29" s="35">
        <f>SUM(D30:D30)</f>
        <v>28000</v>
      </c>
      <c r="E29" s="35">
        <f t="shared" ref="E29:G29" si="13">SUM(E30:E30)</f>
        <v>28000</v>
      </c>
      <c r="F29" s="35">
        <f t="shared" si="13"/>
        <v>28000</v>
      </c>
      <c r="G29" s="35">
        <f t="shared" si="13"/>
        <v>28000</v>
      </c>
      <c r="H29" s="36"/>
    </row>
    <row r="30" spans="1:10" ht="85.5" customHeight="1" x14ac:dyDescent="0.3">
      <c r="A30" s="2"/>
      <c r="B30" s="2" t="s">
        <v>64</v>
      </c>
      <c r="C30" s="2" t="s">
        <v>65</v>
      </c>
      <c r="D30" s="37">
        <f>10*2*(500+350+2*200+3*50)</f>
        <v>28000</v>
      </c>
      <c r="E30" s="37">
        <f>10*2*(500+350+2*200+3*50)</f>
        <v>28000</v>
      </c>
      <c r="F30" s="37">
        <f>10*2*(500+350+2*200+3*50)</f>
        <v>28000</v>
      </c>
      <c r="G30" s="37">
        <f>10*2*(500+350+2*200+3*50)</f>
        <v>28000</v>
      </c>
      <c r="H30" s="36"/>
    </row>
    <row r="31" spans="1:10" ht="41.25" customHeight="1" x14ac:dyDescent="0.3">
      <c r="A31" s="28" t="s">
        <v>52</v>
      </c>
      <c r="B31" s="28" t="s">
        <v>53</v>
      </c>
      <c r="C31" s="38"/>
      <c r="D31" s="35">
        <f>SUM(D32)</f>
        <v>4560</v>
      </c>
      <c r="E31" s="35">
        <f t="shared" ref="E31:G31" si="14">SUM(E32)</f>
        <v>4560</v>
      </c>
      <c r="F31" s="35">
        <f t="shared" si="14"/>
        <v>4560</v>
      </c>
      <c r="G31" s="35">
        <f t="shared" si="14"/>
        <v>4560</v>
      </c>
      <c r="H31" s="36"/>
    </row>
    <row r="32" spans="1:10" ht="55.5" customHeight="1" x14ac:dyDescent="0.3">
      <c r="A32" s="2"/>
      <c r="B32" s="2" t="s">
        <v>112</v>
      </c>
      <c r="C32" s="2" t="s">
        <v>102</v>
      </c>
      <c r="D32" s="37">
        <f>19*12*20</f>
        <v>4560</v>
      </c>
      <c r="E32" s="37">
        <f t="shared" ref="E32:G32" si="15">19*12*20</f>
        <v>4560</v>
      </c>
      <c r="F32" s="37">
        <f t="shared" si="15"/>
        <v>4560</v>
      </c>
      <c r="G32" s="37">
        <f t="shared" si="15"/>
        <v>4560</v>
      </c>
      <c r="H32" s="36"/>
    </row>
    <row r="33" spans="1:8" ht="33.75" customHeight="1" x14ac:dyDescent="0.3">
      <c r="A33" s="28" t="s">
        <v>30</v>
      </c>
      <c r="B33" s="28" t="s">
        <v>31</v>
      </c>
      <c r="C33" s="38"/>
      <c r="D33" s="35">
        <f>SUM(D34)</f>
        <v>15000</v>
      </c>
      <c r="E33" s="35">
        <f>SUM(E34)</f>
        <v>15000</v>
      </c>
      <c r="F33" s="35">
        <f>SUM(F34)</f>
        <v>15000</v>
      </c>
      <c r="G33" s="35">
        <f>SUM(G34)</f>
        <v>15000</v>
      </c>
      <c r="H33" s="36"/>
    </row>
    <row r="34" spans="1:8" ht="46.5" customHeight="1" x14ac:dyDescent="0.3">
      <c r="A34" s="2"/>
      <c r="B34" s="2" t="s">
        <v>66</v>
      </c>
      <c r="C34" s="2" t="s">
        <v>103</v>
      </c>
      <c r="D34" s="37">
        <f>1250*12</f>
        <v>15000</v>
      </c>
      <c r="E34" s="37">
        <f>1250*12</f>
        <v>15000</v>
      </c>
      <c r="F34" s="37">
        <f>1250*12</f>
        <v>15000</v>
      </c>
      <c r="G34" s="37">
        <f>1250*12</f>
        <v>15000</v>
      </c>
      <c r="H34" s="36"/>
    </row>
    <row r="35" spans="1:8" ht="26.4" customHeight="1" x14ac:dyDescent="0.3">
      <c r="A35" s="28" t="s">
        <v>32</v>
      </c>
      <c r="B35" s="28" t="s">
        <v>33</v>
      </c>
      <c r="C35" s="38"/>
      <c r="D35" s="35">
        <f>SUM(D36:D37)</f>
        <v>24777</v>
      </c>
      <c r="E35" s="35">
        <f t="shared" ref="E35:G35" si="16">SUM(E36:E37)</f>
        <v>24777</v>
      </c>
      <c r="F35" s="35">
        <f t="shared" si="16"/>
        <v>24777</v>
      </c>
      <c r="G35" s="35">
        <f t="shared" si="16"/>
        <v>24777</v>
      </c>
      <c r="H35" s="36"/>
    </row>
    <row r="36" spans="1:8" ht="51" customHeight="1" x14ac:dyDescent="0.3">
      <c r="A36" s="2"/>
      <c r="B36" s="2" t="s">
        <v>68</v>
      </c>
      <c r="C36" s="2" t="s">
        <v>104</v>
      </c>
      <c r="D36" s="37">
        <f>12*10*181.5</f>
        <v>21780</v>
      </c>
      <c r="E36" s="37">
        <f>12*10*181.5</f>
        <v>21780</v>
      </c>
      <c r="F36" s="37">
        <f>12*10*181.5</f>
        <v>21780</v>
      </c>
      <c r="G36" s="37">
        <f>12*10*181.5</f>
        <v>21780</v>
      </c>
      <c r="H36" s="36"/>
    </row>
    <row r="37" spans="1:8" ht="78.75" customHeight="1" x14ac:dyDescent="0.3">
      <c r="A37" s="2"/>
      <c r="B37" s="39" t="s">
        <v>95</v>
      </c>
      <c r="C37" s="2" t="s">
        <v>67</v>
      </c>
      <c r="D37" s="37">
        <f>450*6.66</f>
        <v>2997</v>
      </c>
      <c r="E37" s="37">
        <f>450*6.66</f>
        <v>2997</v>
      </c>
      <c r="F37" s="37">
        <v>2997</v>
      </c>
      <c r="G37" s="37">
        <f>450*6.66</f>
        <v>2997</v>
      </c>
      <c r="H37" s="36"/>
    </row>
    <row r="38" spans="1:8" ht="24.75" customHeight="1" x14ac:dyDescent="0.3">
      <c r="A38" s="28" t="s">
        <v>36</v>
      </c>
      <c r="B38" s="33" t="s">
        <v>37</v>
      </c>
      <c r="C38" s="34"/>
      <c r="D38" s="35">
        <f>SUM(D39:D40)</f>
        <v>18950</v>
      </c>
      <c r="E38" s="35">
        <f t="shared" ref="E38:G38" si="17">SUM(E39:E40)</f>
        <v>9500</v>
      </c>
      <c r="F38" s="35">
        <f t="shared" si="17"/>
        <v>9500</v>
      </c>
      <c r="G38" s="35">
        <f t="shared" si="17"/>
        <v>9500</v>
      </c>
      <c r="H38" s="36"/>
    </row>
    <row r="39" spans="1:8" ht="51" customHeight="1" x14ac:dyDescent="0.3">
      <c r="A39" s="2"/>
      <c r="B39" s="39" t="s">
        <v>113</v>
      </c>
      <c r="C39" s="2" t="s">
        <v>105</v>
      </c>
      <c r="D39" s="37">
        <f>1895*10</f>
        <v>18950</v>
      </c>
      <c r="E39" s="37">
        <v>0</v>
      </c>
      <c r="F39" s="37">
        <v>0</v>
      </c>
      <c r="G39" s="37">
        <v>0</v>
      </c>
      <c r="H39" s="36"/>
    </row>
    <row r="40" spans="1:8" ht="39" customHeight="1" x14ac:dyDescent="0.3">
      <c r="A40" s="2"/>
      <c r="B40" s="2" t="s">
        <v>38</v>
      </c>
      <c r="C40" s="2" t="s">
        <v>114</v>
      </c>
      <c r="D40" s="37">
        <v>0</v>
      </c>
      <c r="E40" s="37">
        <f>19*500</f>
        <v>9500</v>
      </c>
      <c r="F40" s="37">
        <f>19*500</f>
        <v>9500</v>
      </c>
      <c r="G40" s="37">
        <f>19*500</f>
        <v>9500</v>
      </c>
      <c r="H40" s="36"/>
    </row>
    <row r="41" spans="1:8" ht="20.399999999999999" x14ac:dyDescent="0.3">
      <c r="A41" s="28" t="s">
        <v>46</v>
      </c>
      <c r="B41" s="28" t="s">
        <v>47</v>
      </c>
      <c r="C41" s="38"/>
      <c r="D41" s="35">
        <f>SUM(D42:D44)</f>
        <v>16700</v>
      </c>
      <c r="E41" s="35">
        <f t="shared" ref="E41:G41" si="18">SUM(E42:E44)</f>
        <v>3450</v>
      </c>
      <c r="F41" s="35">
        <f t="shared" si="18"/>
        <v>3450</v>
      </c>
      <c r="G41" s="35">
        <f t="shared" si="18"/>
        <v>3450</v>
      </c>
      <c r="H41" s="31"/>
    </row>
    <row r="42" spans="1:8" ht="62.25" customHeight="1" x14ac:dyDescent="0.3">
      <c r="A42" s="2"/>
      <c r="B42" s="2" t="s">
        <v>69</v>
      </c>
      <c r="C42" s="2" t="s">
        <v>70</v>
      </c>
      <c r="D42" s="37">
        <v>0</v>
      </c>
      <c r="E42" s="37">
        <f>10*195</f>
        <v>1950</v>
      </c>
      <c r="F42" s="37">
        <f>10*195</f>
        <v>1950</v>
      </c>
      <c r="G42" s="37">
        <f>10*195</f>
        <v>1950</v>
      </c>
      <c r="H42" s="31"/>
    </row>
    <row r="43" spans="1:8" ht="30.6" x14ac:dyDescent="0.3">
      <c r="A43" s="2"/>
      <c r="B43" s="2" t="s">
        <v>71</v>
      </c>
      <c r="C43" s="2" t="s">
        <v>106</v>
      </c>
      <c r="D43" s="37">
        <f>19*800</f>
        <v>15200</v>
      </c>
      <c r="E43" s="37">
        <v>0</v>
      </c>
      <c r="F43" s="37">
        <v>0</v>
      </c>
      <c r="G43" s="37">
        <v>0</v>
      </c>
      <c r="H43" s="40"/>
    </row>
    <row r="44" spans="1:8" ht="30.6" x14ac:dyDescent="0.3">
      <c r="A44" s="2"/>
      <c r="B44" s="2" t="s">
        <v>72</v>
      </c>
      <c r="C44" s="2" t="s">
        <v>91</v>
      </c>
      <c r="D44" s="37">
        <f>12*125</f>
        <v>1500</v>
      </c>
      <c r="E44" s="37">
        <f t="shared" ref="E44:G44" si="19">12*125</f>
        <v>1500</v>
      </c>
      <c r="F44" s="37">
        <f t="shared" si="19"/>
        <v>1500</v>
      </c>
      <c r="G44" s="37">
        <f t="shared" si="19"/>
        <v>1500</v>
      </c>
      <c r="H44" s="40"/>
    </row>
    <row r="45" spans="1:8" ht="20.399999999999999" x14ac:dyDescent="0.3">
      <c r="A45" s="3" t="s">
        <v>39</v>
      </c>
      <c r="B45" s="2" t="s">
        <v>40</v>
      </c>
      <c r="C45" s="1"/>
      <c r="D45" s="24">
        <f>SUM(D46:D51)</f>
        <v>214099</v>
      </c>
      <c r="E45" s="24">
        <f t="shared" ref="E45:G45" si="20">SUM(E46:E51)</f>
        <v>281899</v>
      </c>
      <c r="F45" s="24">
        <f t="shared" si="20"/>
        <v>281899</v>
      </c>
      <c r="G45" s="24">
        <f t="shared" si="20"/>
        <v>281899</v>
      </c>
    </row>
    <row r="46" spans="1:8" ht="40.799999999999997" x14ac:dyDescent="0.3">
      <c r="A46" s="4"/>
      <c r="B46" s="2" t="s">
        <v>98</v>
      </c>
      <c r="C46" s="2" t="s">
        <v>115</v>
      </c>
      <c r="D46" s="25">
        <v>80000</v>
      </c>
      <c r="E46" s="25">
        <v>80000</v>
      </c>
      <c r="F46" s="25">
        <v>80000</v>
      </c>
      <c r="G46" s="25">
        <v>80000</v>
      </c>
    </row>
    <row r="47" spans="1:8" ht="61.5" customHeight="1" x14ac:dyDescent="0.3">
      <c r="A47" s="4"/>
      <c r="B47" s="2" t="s">
        <v>99</v>
      </c>
      <c r="C47" s="2" t="s">
        <v>116</v>
      </c>
      <c r="D47" s="25">
        <v>60000</v>
      </c>
      <c r="E47" s="25">
        <v>60000</v>
      </c>
      <c r="F47" s="25">
        <v>60000</v>
      </c>
      <c r="G47" s="25">
        <v>60000</v>
      </c>
    </row>
    <row r="48" spans="1:8" ht="91.8" x14ac:dyDescent="0.3">
      <c r="A48" s="4"/>
      <c r="B48" s="2" t="s">
        <v>92</v>
      </c>
      <c r="C48" s="2" t="s">
        <v>117</v>
      </c>
      <c r="D48" s="25">
        <v>44454</v>
      </c>
      <c r="E48" s="25">
        <v>44454</v>
      </c>
      <c r="F48" s="25">
        <v>44454</v>
      </c>
      <c r="G48" s="25">
        <v>44454</v>
      </c>
    </row>
    <row r="49" spans="1:7" ht="20.399999999999999" x14ac:dyDescent="0.3">
      <c r="A49" s="4"/>
      <c r="B49" s="2" t="s">
        <v>73</v>
      </c>
      <c r="C49" s="2" t="s">
        <v>93</v>
      </c>
      <c r="D49" s="25">
        <v>0</v>
      </c>
      <c r="E49" s="25">
        <v>60000</v>
      </c>
      <c r="F49" s="25">
        <v>60000</v>
      </c>
      <c r="G49" s="25">
        <v>60000</v>
      </c>
    </row>
    <row r="50" spans="1:7" ht="30.6" x14ac:dyDescent="0.3">
      <c r="A50" s="4"/>
      <c r="B50" s="2" t="s">
        <v>94</v>
      </c>
      <c r="C50" s="2" t="s">
        <v>107</v>
      </c>
      <c r="D50" s="25">
        <v>29645</v>
      </c>
      <c r="E50" s="25">
        <v>29645</v>
      </c>
      <c r="F50" s="25">
        <v>29645</v>
      </c>
      <c r="G50" s="25">
        <v>29645</v>
      </c>
    </row>
    <row r="51" spans="1:7" ht="20.399999999999999" x14ac:dyDescent="0.3">
      <c r="A51" s="4"/>
      <c r="B51" s="2" t="s">
        <v>74</v>
      </c>
      <c r="C51" s="2" t="s">
        <v>108</v>
      </c>
      <c r="D51" s="25">
        <v>0</v>
      </c>
      <c r="E51" s="25">
        <f>4*1950</f>
        <v>7800</v>
      </c>
      <c r="F51" s="25">
        <f>4*1950</f>
        <v>7800</v>
      </c>
      <c r="G51" s="25">
        <f>4*1950</f>
        <v>7800</v>
      </c>
    </row>
    <row r="52" spans="1:7" x14ac:dyDescent="0.3">
      <c r="A52" s="28" t="s">
        <v>54</v>
      </c>
      <c r="B52" s="28" t="s">
        <v>59</v>
      </c>
      <c r="C52" s="38"/>
      <c r="D52" s="35">
        <f>SUM(D53)</f>
        <v>4200</v>
      </c>
      <c r="E52" s="35">
        <f>SUM(E53)</f>
        <v>4200</v>
      </c>
      <c r="F52" s="35">
        <f>SUM(F53)</f>
        <v>4200</v>
      </c>
      <c r="G52" s="35">
        <f>SUM(G53)</f>
        <v>4200</v>
      </c>
    </row>
    <row r="53" spans="1:7" ht="20.399999999999999" x14ac:dyDescent="0.3">
      <c r="A53" s="2"/>
      <c r="B53" s="2" t="s">
        <v>75</v>
      </c>
      <c r="C53" s="2" t="s">
        <v>76</v>
      </c>
      <c r="D53" s="37">
        <f>12*350</f>
        <v>4200</v>
      </c>
      <c r="E53" s="37">
        <f>12*350</f>
        <v>4200</v>
      </c>
      <c r="F53" s="37">
        <f>12*350</f>
        <v>4200</v>
      </c>
      <c r="G53" s="37">
        <f>12*350</f>
        <v>4200</v>
      </c>
    </row>
    <row r="54" spans="1:7" x14ac:dyDescent="0.3">
      <c r="A54" s="28" t="s">
        <v>55</v>
      </c>
      <c r="B54" s="28" t="s">
        <v>58</v>
      </c>
      <c r="C54" s="38"/>
      <c r="D54" s="35">
        <f>SUM(D55:D59)</f>
        <v>38269</v>
      </c>
      <c r="E54" s="35">
        <f>SUM(E55:E59)</f>
        <v>2434</v>
      </c>
      <c r="F54" s="35">
        <f>SUM(F55:F59)</f>
        <v>2434</v>
      </c>
      <c r="G54" s="35">
        <f>SUM(G55:G59)</f>
        <v>2434</v>
      </c>
    </row>
    <row r="55" spans="1:7" ht="20.399999999999999" x14ac:dyDescent="0.3">
      <c r="A55" s="28"/>
      <c r="B55" s="2" t="s">
        <v>77</v>
      </c>
      <c r="C55" s="2" t="s">
        <v>123</v>
      </c>
      <c r="D55" s="37">
        <f>11*2*382+8*382</f>
        <v>11460</v>
      </c>
      <c r="E55" s="37">
        <v>0</v>
      </c>
      <c r="F55" s="37">
        <v>0</v>
      </c>
      <c r="G55" s="37">
        <v>0</v>
      </c>
    </row>
    <row r="56" spans="1:7" ht="30.6" x14ac:dyDescent="0.3">
      <c r="A56" s="28"/>
      <c r="B56" s="2" t="s">
        <v>78</v>
      </c>
      <c r="C56" s="2" t="s">
        <v>79</v>
      </c>
      <c r="D56" s="37">
        <f>19*150</f>
        <v>2850</v>
      </c>
      <c r="E56" s="37">
        <v>0</v>
      </c>
      <c r="F56" s="37">
        <v>0</v>
      </c>
      <c r="G56" s="37">
        <v>0</v>
      </c>
    </row>
    <row r="57" spans="1:7" ht="30.6" x14ac:dyDescent="0.3">
      <c r="A57" s="28"/>
      <c r="B57" s="2" t="s">
        <v>118</v>
      </c>
      <c r="C57" s="2" t="s">
        <v>119</v>
      </c>
      <c r="D57" s="37">
        <f>19*520</f>
        <v>9880</v>
      </c>
      <c r="E57" s="37">
        <v>0</v>
      </c>
      <c r="F57" s="37">
        <v>0</v>
      </c>
      <c r="G57" s="37">
        <v>0</v>
      </c>
    </row>
    <row r="58" spans="1:7" ht="20.399999999999999" x14ac:dyDescent="0.3">
      <c r="A58" s="2"/>
      <c r="B58" s="2" t="s">
        <v>80</v>
      </c>
      <c r="C58" s="2" t="s">
        <v>81</v>
      </c>
      <c r="D58" s="37">
        <f>19*741</f>
        <v>14079</v>
      </c>
      <c r="E58" s="37">
        <v>0</v>
      </c>
      <c r="F58" s="37">
        <v>0</v>
      </c>
      <c r="G58" s="37">
        <v>0</v>
      </c>
    </row>
    <row r="59" spans="1:7" x14ac:dyDescent="0.3">
      <c r="A59" s="2"/>
      <c r="B59" s="2" t="s">
        <v>82</v>
      </c>
      <c r="C59" s="2" t="s">
        <v>109</v>
      </c>
      <c r="D59" s="37">
        <v>0</v>
      </c>
      <c r="E59" s="37">
        <v>2434</v>
      </c>
      <c r="F59" s="37">
        <v>2434</v>
      </c>
      <c r="G59" s="37">
        <v>2434</v>
      </c>
    </row>
    <row r="60" spans="1:7" x14ac:dyDescent="0.3">
      <c r="A60" s="8" t="s">
        <v>10</v>
      </c>
      <c r="B60" s="9" t="s">
        <v>11</v>
      </c>
      <c r="C60" s="8"/>
      <c r="D60" s="10">
        <f>SUM(D61,D66)</f>
        <v>201830</v>
      </c>
      <c r="E60" s="10">
        <f t="shared" ref="E60:G60" si="21">SUM(E61,E66)</f>
        <v>63935</v>
      </c>
      <c r="F60" s="10">
        <f t="shared" si="21"/>
        <v>63935</v>
      </c>
      <c r="G60" s="10">
        <f t="shared" si="21"/>
        <v>63935</v>
      </c>
    </row>
    <row r="61" spans="1:7" ht="30.6" x14ac:dyDescent="0.3">
      <c r="A61" s="28" t="s">
        <v>41</v>
      </c>
      <c r="B61" s="28" t="s">
        <v>42</v>
      </c>
      <c r="C61" s="38"/>
      <c r="D61" s="35">
        <f>SUM(D62:D65)</f>
        <v>146730</v>
      </c>
      <c r="E61" s="35">
        <f t="shared" ref="E61:G61" si="22">SUM(E62:E65)</f>
        <v>61000</v>
      </c>
      <c r="F61" s="35">
        <f t="shared" si="22"/>
        <v>61000</v>
      </c>
      <c r="G61" s="35">
        <f t="shared" si="22"/>
        <v>61000</v>
      </c>
    </row>
    <row r="62" spans="1:7" ht="51" x14ac:dyDescent="0.3">
      <c r="A62" s="2"/>
      <c r="B62" s="2" t="s">
        <v>83</v>
      </c>
      <c r="C62" s="2" t="s">
        <v>120</v>
      </c>
      <c r="D62" s="37">
        <v>70000</v>
      </c>
      <c r="E62" s="37">
        <v>50000</v>
      </c>
      <c r="F62" s="37">
        <v>50000</v>
      </c>
      <c r="G62" s="37">
        <v>50000</v>
      </c>
    </row>
    <row r="63" spans="1:7" ht="40.799999999999997" x14ac:dyDescent="0.3">
      <c r="B63" s="2" t="s">
        <v>84</v>
      </c>
      <c r="C63" s="2" t="s">
        <v>122</v>
      </c>
      <c r="D63" s="37">
        <v>45000</v>
      </c>
      <c r="E63" s="37">
        <v>6000</v>
      </c>
      <c r="F63" s="37">
        <v>6000</v>
      </c>
      <c r="G63" s="37">
        <v>6000</v>
      </c>
    </row>
    <row r="64" spans="1:7" ht="20.399999999999999" x14ac:dyDescent="0.3">
      <c r="B64" s="2" t="s">
        <v>85</v>
      </c>
      <c r="C64" s="2" t="s">
        <v>121</v>
      </c>
      <c r="D64" s="37">
        <f>19*1670</f>
        <v>31730</v>
      </c>
      <c r="E64" s="37">
        <v>0</v>
      </c>
      <c r="F64" s="37">
        <v>0</v>
      </c>
      <c r="G64" s="37">
        <v>0</v>
      </c>
    </row>
    <row r="65" spans="1:8" ht="20.399999999999999" x14ac:dyDescent="0.3">
      <c r="B65" s="2" t="s">
        <v>86</v>
      </c>
      <c r="C65" s="5"/>
      <c r="D65" s="37">
        <v>0</v>
      </c>
      <c r="E65" s="37">
        <v>5000</v>
      </c>
      <c r="F65" s="37">
        <v>5000</v>
      </c>
      <c r="G65" s="37">
        <v>5000</v>
      </c>
    </row>
    <row r="66" spans="1:8" ht="20.399999999999999" x14ac:dyDescent="0.3">
      <c r="A66" s="28" t="s">
        <v>56</v>
      </c>
      <c r="B66" s="28" t="s">
        <v>57</v>
      </c>
      <c r="C66" s="38"/>
      <c r="D66" s="35">
        <f>SUM(D67:D70)</f>
        <v>55100</v>
      </c>
      <c r="E66" s="35">
        <f t="shared" ref="E66:G66" si="23">SUM(E67:E70)</f>
        <v>2935</v>
      </c>
      <c r="F66" s="35">
        <f t="shared" si="23"/>
        <v>2935</v>
      </c>
      <c r="G66" s="35">
        <f t="shared" si="23"/>
        <v>2935</v>
      </c>
    </row>
    <row r="67" spans="1:8" ht="20.399999999999999" x14ac:dyDescent="0.3">
      <c r="A67" s="2"/>
      <c r="B67" s="2" t="s">
        <v>87</v>
      </c>
      <c r="C67" s="2" t="s">
        <v>88</v>
      </c>
      <c r="D67" s="37">
        <f>19*1300</f>
        <v>24700</v>
      </c>
      <c r="E67" s="37">
        <v>0</v>
      </c>
      <c r="F67" s="37">
        <v>0</v>
      </c>
      <c r="G67" s="37">
        <v>0</v>
      </c>
    </row>
    <row r="68" spans="1:8" ht="20.399999999999999" x14ac:dyDescent="0.3">
      <c r="A68" s="2"/>
      <c r="B68" s="2" t="s">
        <v>89</v>
      </c>
      <c r="C68" s="2" t="s">
        <v>90</v>
      </c>
      <c r="D68" s="37">
        <f>3000</f>
        <v>3000</v>
      </c>
      <c r="E68" s="37">
        <v>0</v>
      </c>
      <c r="F68" s="37">
        <v>0</v>
      </c>
      <c r="G68" s="37">
        <v>0</v>
      </c>
      <c r="H68" s="41"/>
    </row>
    <row r="69" spans="1:8" ht="34.5" customHeight="1" x14ac:dyDescent="0.3">
      <c r="A69" s="2"/>
      <c r="B69" s="2" t="s">
        <v>97</v>
      </c>
      <c r="C69" s="2" t="s">
        <v>110</v>
      </c>
      <c r="D69" s="37">
        <f>6850*4</f>
        <v>27400</v>
      </c>
      <c r="E69" s="37">
        <v>0</v>
      </c>
      <c r="F69" s="37">
        <v>0</v>
      </c>
      <c r="G69" s="37">
        <v>0</v>
      </c>
    </row>
    <row r="70" spans="1:8" ht="30.6" x14ac:dyDescent="0.3">
      <c r="A70" s="2"/>
      <c r="B70" s="2" t="s">
        <v>96</v>
      </c>
      <c r="C70" s="2" t="s">
        <v>100</v>
      </c>
      <c r="D70" s="37">
        <v>0</v>
      </c>
      <c r="E70" s="37">
        <v>2935</v>
      </c>
      <c r="F70" s="37">
        <v>2935</v>
      </c>
      <c r="G70" s="37">
        <v>2935</v>
      </c>
    </row>
  </sheetData>
  <mergeCells count="15">
    <mergeCell ref="A3:H3"/>
    <mergeCell ref="A6:H6"/>
    <mergeCell ref="A4:H4"/>
    <mergeCell ref="E1:H1"/>
    <mergeCell ref="A5:H5"/>
    <mergeCell ref="A2:H2"/>
    <mergeCell ref="A16:H16"/>
    <mergeCell ref="G9:G10"/>
    <mergeCell ref="H9:H10"/>
    <mergeCell ref="A9:A10"/>
    <mergeCell ref="B9:B10"/>
    <mergeCell ref="C9:C10"/>
    <mergeCell ref="D9:D10"/>
    <mergeCell ref="E9:E10"/>
    <mergeCell ref="F9:F10"/>
  </mergeCells>
  <pageMargins left="0.7" right="0.7" top="0.59" bottom="0.49" header="0.3" footer="0.3"/>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Sankcjas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2023-08-11T13:45:12Z</dcterms:modified>
</cp:coreProperties>
</file>