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Arturs_Grigs\Desktop\"/>
    </mc:Choice>
  </mc:AlternateContent>
  <xr:revisionPtr revIDLastSave="0" documentId="8_{B74352D3-1AA8-46E7-9778-1BE484664E75}" xr6:coauthVersionLast="47" xr6:coauthVersionMax="47" xr10:uidLastSave="{00000000-0000-0000-0000-000000000000}"/>
  <bookViews>
    <workbookView xWindow="-110" yWindow="-110" windowWidth="19420" windowHeight="10420" tabRatio="723" activeTab="2" xr2:uid="{00000000-000D-0000-FFFF-FFFF00000000}"/>
  </bookViews>
  <sheets>
    <sheet name="Kopsavilkums" sheetId="1" r:id="rId1"/>
    <sheet name="3p_pielikums" sheetId="2" r:id="rId2"/>
    <sheet name="4p_kopsavilkums" sheetId="3" r:id="rId3"/>
    <sheet name="4p_pielikums_Nr1" sheetId="4" r:id="rId4"/>
    <sheet name="4p_pielikums_Nr2" sheetId="5" r:id="rId5"/>
    <sheet name="4p_pielikums_Nr3" sheetId="6" r:id="rId6"/>
    <sheet name="4p_pielikums_Nr4" sheetId="7" r:id="rId7"/>
    <sheet name="4p_pielikums_Nr5" sheetId="8" r:id="rId8"/>
    <sheet name="4p_pielikums_Nr6" sheetId="9" r:id="rId9"/>
    <sheet name="4p_pielikums_Nr7" sheetId="10" r:id="rId10"/>
    <sheet name="4p_pielikums_Nr8" sheetId="11" r:id="rId11"/>
    <sheet name="4p_pielikums_Nr9" sheetId="12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2" i="1" l="1"/>
  <c r="F12" i="1"/>
  <c r="D12" i="1"/>
  <c r="B15" i="3" l="1"/>
  <c r="H9" i="12"/>
  <c r="E9" i="12"/>
  <c r="B9" i="12"/>
  <c r="J8" i="12"/>
  <c r="G8" i="12"/>
  <c r="D8" i="12"/>
  <c r="J7" i="12"/>
  <c r="G7" i="12"/>
  <c r="G9" i="12" s="1"/>
  <c r="C18" i="3" s="1"/>
  <c r="D7" i="12"/>
  <c r="J6" i="12"/>
  <c r="G6" i="12"/>
  <c r="D6" i="12"/>
  <c r="D9" i="12" s="1"/>
  <c r="B18" i="3" s="1"/>
  <c r="J5" i="12"/>
  <c r="J9" i="12" s="1"/>
  <c r="D18" i="3" s="1"/>
  <c r="G5" i="12"/>
  <c r="D5" i="12"/>
  <c r="K18" i="11"/>
  <c r="D17" i="3" s="1"/>
  <c r="I18" i="11"/>
  <c r="F18" i="11"/>
  <c r="C18" i="11"/>
  <c r="K15" i="11"/>
  <c r="K13" i="11"/>
  <c r="H13" i="11"/>
  <c r="E13" i="11"/>
  <c r="K12" i="11"/>
  <c r="H12" i="11"/>
  <c r="E12" i="11"/>
  <c r="E18" i="11" s="1"/>
  <c r="B17" i="3" s="1"/>
  <c r="K10" i="11"/>
  <c r="H10" i="11"/>
  <c r="K9" i="11"/>
  <c r="H9" i="11"/>
  <c r="K8" i="11"/>
  <c r="H8" i="11"/>
  <c r="H18" i="11" s="1"/>
  <c r="C17" i="3" s="1"/>
  <c r="E8" i="11"/>
  <c r="K6" i="11"/>
  <c r="K5" i="11"/>
  <c r="H5" i="11"/>
  <c r="E5" i="11"/>
  <c r="D6" i="10"/>
  <c r="B16" i="3" s="1"/>
  <c r="D5" i="10"/>
  <c r="D4" i="10"/>
  <c r="G5" i="9"/>
  <c r="C15" i="3" s="1"/>
  <c r="E5" i="9"/>
  <c r="D5" i="9"/>
  <c r="D4" i="8"/>
  <c r="F4" i="8" s="1"/>
  <c r="I12" i="7"/>
  <c r="H12" i="7"/>
  <c r="C13" i="3" s="1"/>
  <c r="F12" i="7"/>
  <c r="C12" i="7"/>
  <c r="K11" i="7"/>
  <c r="H11" i="7"/>
  <c r="E11" i="7"/>
  <c r="K10" i="7"/>
  <c r="H10" i="7"/>
  <c r="E10" i="7"/>
  <c r="E12" i="7" s="1"/>
  <c r="B13" i="3" s="1"/>
  <c r="K9" i="7"/>
  <c r="H9" i="7"/>
  <c r="K8" i="7"/>
  <c r="H8" i="7"/>
  <c r="K7" i="7"/>
  <c r="H7" i="7"/>
  <c r="K6" i="7"/>
  <c r="K12" i="7" s="1"/>
  <c r="D13" i="3" s="1"/>
  <c r="H6" i="7"/>
  <c r="K5" i="7"/>
  <c r="H5" i="7"/>
  <c r="D5" i="6"/>
  <c r="D6" i="6" s="1"/>
  <c r="D4" i="6"/>
  <c r="E7" i="5"/>
  <c r="I6" i="5"/>
  <c r="F6" i="5"/>
  <c r="E6" i="5"/>
  <c r="B11" i="3" s="1"/>
  <c r="C6" i="5"/>
  <c r="K5" i="5"/>
  <c r="K6" i="5" s="1"/>
  <c r="H5" i="5"/>
  <c r="H6" i="5" s="1"/>
  <c r="E5" i="5"/>
  <c r="D63" i="4"/>
  <c r="F63" i="4" s="1"/>
  <c r="G38" i="4"/>
  <c r="D38" i="4"/>
  <c r="L32" i="4"/>
  <c r="J32" i="4"/>
  <c r="H32" i="4"/>
  <c r="E32" i="4"/>
  <c r="G32" i="4" s="1"/>
  <c r="C32" i="4"/>
  <c r="F32" i="4" s="1"/>
  <c r="H16" i="4"/>
  <c r="I15" i="4"/>
  <c r="F15" i="4"/>
  <c r="H14" i="4"/>
  <c r="G14" i="4"/>
  <c r="E14" i="4"/>
  <c r="E16" i="4" s="1"/>
  <c r="D14" i="4"/>
  <c r="B8" i="4"/>
  <c r="I13" i="4" s="1"/>
  <c r="E5" i="2"/>
  <c r="G5" i="2" s="1"/>
  <c r="H5" i="2" s="1"/>
  <c r="C5" i="2"/>
  <c r="K17" i="1"/>
  <c r="K16" i="1"/>
  <c r="I15" i="1"/>
  <c r="H15" i="1"/>
  <c r="G15" i="1"/>
  <c r="F15" i="1"/>
  <c r="F6" i="1" s="1"/>
  <c r="E15" i="1"/>
  <c r="E6" i="1" s="1"/>
  <c r="D15" i="1"/>
  <c r="D6" i="1" s="1"/>
  <c r="K12" i="1"/>
  <c r="I12" i="1"/>
  <c r="I6" i="1" s="1"/>
  <c r="H12" i="1"/>
  <c r="G12" i="1"/>
  <c r="G6" i="1" s="1"/>
  <c r="H6" i="1"/>
  <c r="K15" i="1" l="1"/>
  <c r="K6" i="1" s="1"/>
  <c r="D14" i="3"/>
  <c r="C14" i="3"/>
  <c r="B14" i="3"/>
  <c r="E43" i="4"/>
  <c r="K32" i="4"/>
  <c r="G43" i="4" s="1"/>
  <c r="G47" i="4" s="1"/>
  <c r="I32" i="4"/>
  <c r="F43" i="4" s="1"/>
  <c r="F47" i="4" s="1"/>
  <c r="D69" i="4" s="1"/>
  <c r="B9" i="3" s="1"/>
  <c r="H7" i="5"/>
  <c r="C11" i="3"/>
  <c r="D12" i="3"/>
  <c r="C12" i="3"/>
  <c r="B12" i="3"/>
  <c r="D11" i="3"/>
  <c r="K7" i="5"/>
  <c r="I12" i="4"/>
  <c r="I14" i="4" s="1"/>
  <c r="I16" i="4" s="1"/>
  <c r="C16" i="3"/>
  <c r="D16" i="3"/>
  <c r="F5" i="2"/>
  <c r="D8" i="4"/>
  <c r="F12" i="4"/>
  <c r="F13" i="4"/>
  <c r="I5" i="9"/>
  <c r="D15" i="3" s="1"/>
  <c r="B6" i="3" l="1"/>
  <c r="F68" i="4"/>
  <c r="E68" i="4"/>
  <c r="F69" i="4"/>
  <c r="D9" i="3" s="1"/>
  <c r="E69" i="4"/>
  <c r="C9" i="3" s="1"/>
  <c r="F14" i="4"/>
  <c r="F16" i="4" s="1"/>
  <c r="D68" i="4" s="1"/>
  <c r="D6" i="3" l="1"/>
  <c r="B10" i="3"/>
  <c r="D70" i="4"/>
  <c r="C10" i="3"/>
  <c r="C7" i="3" s="1"/>
  <c r="E70" i="4"/>
  <c r="D10" i="3"/>
  <c r="D7" i="3" s="1"/>
  <c r="F70" i="4"/>
  <c r="C6" i="3"/>
  <c r="C5" i="3" s="1"/>
  <c r="B7" i="3" l="1"/>
  <c r="B5" i="3" s="1"/>
  <c r="B8" i="3"/>
  <c r="C8" i="3"/>
  <c r="D8" i="3"/>
  <c r="D5" i="3"/>
</calcChain>
</file>

<file path=xl/sharedStrings.xml><?xml version="1.0" encoding="utf-8"?>
<sst xmlns="http://schemas.openxmlformats.org/spreadsheetml/2006/main" count="452" uniqueCount="358">
  <si>
    <t>Risinājums</t>
  </si>
  <si>
    <t>Budžeta programmas (apakšprogrammas) kods un nosaukums</t>
  </si>
  <si>
    <t>Vidēja termiņa budžeta ietvara likumā plānotais finansējums</t>
  </si>
  <si>
    <t>Nepieciešamais papildu finansējums</t>
  </si>
  <si>
    <t>Pasākuma īstenošanas gads
(ja risinājuma (risinājuma varianta) īstenošana ir terminēta)</t>
  </si>
  <si>
    <t>turpmākajā laikposmā līdz risinājuma (risinājuma varianta) pabeigšanai
(ja īstenošana ir terminēta)</t>
  </si>
  <si>
    <t>turpmāk ik gadu
(ja risinājuma (risinājuma varianta) izpilde nav terminēta)</t>
  </si>
  <si>
    <t>Finansējums konceptuālā ziņojuma īstenošanai kopā</t>
  </si>
  <si>
    <t>33.03.00 "Kompensējamo medikamentu un materiālu apmaksāšana"</t>
  </si>
  <si>
    <t>33.04.00 "Centralizēta medikamentu un materiālu iegāde"</t>
  </si>
  <si>
    <t>Nepieciešamais finansējums pacientu līdzmaksājuma samazināšanai pie noteikta maksimālā pacientu līdzmaksājuma apmēra</t>
  </si>
  <si>
    <t>Ierīces</t>
  </si>
  <si>
    <t>Prognozējamais pacientu skaits</t>
  </si>
  <si>
    <t>2023.gads</t>
  </si>
  <si>
    <t>2024.gads</t>
  </si>
  <si>
    <t>2025.gads un turpmāk ik gadu</t>
  </si>
  <si>
    <t>Prioritāro pasākumu (tai skaitā starpnozaru) saraksta kartiņas Nr.</t>
  </si>
  <si>
    <t>Prognozējamās izmaksas 1 pac. gadā, euro</t>
  </si>
  <si>
    <t>Prognozētais nepieciešamais 
finansējums, euro gadā</t>
  </si>
  <si>
    <t>Maksimālais pacientu līdzmaksājums 250 eur gadā</t>
  </si>
  <si>
    <t>29_02_P</t>
  </si>
  <si>
    <t xml:space="preserve">Nepieciešamais finansējums, lai uzlabotu kompensējamo zāļu, t.sk. onkoloģijā finansiālo pieejamību pacientiem </t>
  </si>
  <si>
    <t>Pasākums</t>
  </si>
  <si>
    <t>Nepieciešamais finansējuma apmērs, euro</t>
  </si>
  <si>
    <t>Kopā, euro</t>
  </si>
  <si>
    <t>33.03.00</t>
  </si>
  <si>
    <t>33.04.00</t>
  </si>
  <si>
    <t>Medikamenti (Veselības aprūpes pakalpojumu onkoloģijas jomā uzlabošanas plāns 2022.–2024. gadam)</t>
  </si>
  <si>
    <t>29_04_P</t>
  </si>
  <si>
    <t>Paplašināt medikamentozās ārstēšanas iespējas RS pacientiem ("Plāns reto slimību jomā 2023. - 2025.gadam" (projekts)) 33.03.00</t>
  </si>
  <si>
    <t>Medikamentu kompensācijas apmēra palielināšanai no 50% uz 75% (33.03.00)</t>
  </si>
  <si>
    <t>Jaunu diagnožu iekļaušana KZS un kompensācijas paplašināšana KZS jaunām diagnozēm ar esošām un jaunām zālēm (33.03.00)</t>
  </si>
  <si>
    <t>Nepieciešamo medikamentu nodrošināšana sirds un asinsvadu sistēmas terapijas turpināšanai  (terapija uzsākta 2018.gadā) 33.03.00</t>
  </si>
  <si>
    <t>Ikgadējais unikālo pacientu skaita pieaugums 2% 2022.gadā un turpmākajos gados esošajām diagnozēm (33.03.00)</t>
  </si>
  <si>
    <t>Medikamentu kompensācijas apmēra palielināšana no 75% uz 100% (33.03.00)</t>
  </si>
  <si>
    <t>Medikamenti ("Psihiskās veselības aprūpes uzlabošanas plāns 2023. - 2025.gadam" (projekts)) 33.03.00</t>
  </si>
  <si>
    <t>Jaunu zāļu iekļaušana un kompensācijas paplašināšana (33.03.00)</t>
  </si>
  <si>
    <t>Dzimumneitrālas vakcinācijas pret cilvēka papilomas vīrusu (CPV) ieviešana valsts vakcinācijas programmā no 2022.gada</t>
  </si>
  <si>
    <t>Vakcīna</t>
  </si>
  <si>
    <t>9-valentās vakcīnas cena ar PVN, euro (2020/2021 iepirkums)</t>
  </si>
  <si>
    <t>2021.gadam plānotais daudzums</t>
  </si>
  <si>
    <t>Plānotā summa 2021.gadā</t>
  </si>
  <si>
    <t>Vakcīna pret cilvēka papilomas vīrusu (CPV) (12 gadi (meitenes))</t>
  </si>
  <si>
    <t>Nosaukums</t>
  </si>
  <si>
    <t>Vecuma grupa</t>
  </si>
  <si>
    <t>Skaidrojums</t>
  </si>
  <si>
    <t>2023. gads</t>
  </si>
  <si>
    <t>2024. gads un turpmāk</t>
  </si>
  <si>
    <t>Demogrāfiskie dati (personu skaits)</t>
  </si>
  <si>
    <t>Prognozējamais daudzums (vakcīnas devas apaļojot)</t>
  </si>
  <si>
    <t>Vakcīnas iegādei nepieciešamais finansējums, euro</t>
  </si>
  <si>
    <t>Vakcīna pret cilvēka papilomas vīrusa infekciju (CPV)</t>
  </si>
  <si>
    <t>12 gadi (meitenes)</t>
  </si>
  <si>
    <t>2020.gadā plānotā aptvere - 70%, 2 potes atbilstoši Sabiedrības veselības pamatnostādnēm 2014.-2020.</t>
  </si>
  <si>
    <t>12 gadi 
(zēni)</t>
  </si>
  <si>
    <t>Vidēja aptvere 2011.-2012. gadā, uzsākot meiteņu vakcināciju - 60%, 2 potes.</t>
  </si>
  <si>
    <t>KOPĀ (meitenēm un zēniem)</t>
  </si>
  <si>
    <t>2021.gadā budžetā plānotie līdzekļi meiteņu vakcinēšanai pret CPV</t>
  </si>
  <si>
    <t>Papildus nepieciešamais finansējums dzimumneitrālai vakcinēšanai pret CPV</t>
  </si>
  <si>
    <t>Pasākums īstenojams  apakšprogrammas 33.04.00 “Centralizēta medikamentu un materiālu iegāde” ietvaros</t>
  </si>
  <si>
    <t xml:space="preserve">Uzlabot nodrošināšanu ar inovatīvajiem medikamentiem dažādu lokalizāciju audzēju gadījumā, kā arī paplašināt medikamentozās terapijas pieejamību un nepārtrauktību onkoloģiskajiem pacientiem* </t>
  </si>
  <si>
    <t>Diagnoze/ 
diagnožu grupa</t>
  </si>
  <si>
    <t>Prognozējamais pacientu skaits 1. gadā</t>
  </si>
  <si>
    <t>Prognozētais nepieciešamais 
finansējums 1. gadā, euro</t>
  </si>
  <si>
    <t>Prognozējamais pacientu skaits 2. gadā</t>
  </si>
  <si>
    <t>Prognozētais nepieciešamais 
finansējums 2. gadā, euro</t>
  </si>
  <si>
    <t>Prognozējamais pacientu skaits 3. gadā</t>
  </si>
  <si>
    <t xml:space="preserve">Prognozētais nepieciešamais 
finansējums 3. gadā, euro </t>
  </si>
  <si>
    <t>Iesniegts Veselības aprūpes pakalpojumu onkoloģijas jomā uzlabošanas plāna 2022. - 2024. gadam projektā</t>
  </si>
  <si>
    <t>tikai jaunās zāles</t>
  </si>
  <si>
    <t>no jaunajām zālēm - tikai personalizētā medicīna</t>
  </si>
  <si>
    <t>2022.gads</t>
  </si>
  <si>
    <t>2024.gads un turpmāk ik gadu</t>
  </si>
  <si>
    <t>Nepieciešamo medikamentu nodrošināšana onkoloģiskās inovatīvās terapijas turpināšanai  (terapija uzsākta 2018.gadā)</t>
  </si>
  <si>
    <t>Prognozējamais pacientu skaits (pacienti, kas jau saņem terapiju + potenciālie pacienti nākošajā gadā)</t>
  </si>
  <si>
    <t>Vidējās viena pacienta izmaksas</t>
  </si>
  <si>
    <t>Finansējums kopā, euro</t>
  </si>
  <si>
    <t>2021.gadam piešķirtie līdzekļi</t>
  </si>
  <si>
    <t>Prognozētais pacientu skaits 2021.gadā</t>
  </si>
  <si>
    <r>
      <t xml:space="preserve">Prognozētais nepieciešamais </t>
    </r>
    <r>
      <rPr>
        <b/>
        <sz val="12"/>
        <color rgb="FF000000"/>
        <rFont val="Times New Roman"/>
        <family val="1"/>
      </rPr>
      <t xml:space="preserve">papildus </t>
    </r>
    <r>
      <rPr>
        <b/>
        <sz val="12"/>
        <color rgb="FF000000"/>
        <rFont val="Times New Roman"/>
        <family val="1"/>
      </rPr>
      <t xml:space="preserve">
</t>
    </r>
    <r>
      <rPr>
        <sz val="12"/>
        <color rgb="FF000000"/>
        <rFont val="Times New Roman"/>
        <family val="1"/>
      </rPr>
      <t>finansējums 2022.gadā, euro</t>
    </r>
  </si>
  <si>
    <t>Prognozējamais pacientu skaits (pacienti, kas jau saņem terapiju + potenciālie pacienti nākošajā gadā) 2022.gadā*</t>
  </si>
  <si>
    <r>
      <t xml:space="preserve">Prognozētais nepieciešamais </t>
    </r>
    <r>
      <rPr>
        <b/>
        <sz val="12"/>
        <color rgb="FF000000"/>
        <rFont val="Times New Roman"/>
        <family val="1"/>
      </rPr>
      <t xml:space="preserve">papildus  </t>
    </r>
    <r>
      <rPr>
        <b/>
        <sz val="12"/>
        <color rgb="FF000000"/>
        <rFont val="Times New Roman"/>
        <family val="1"/>
      </rPr>
      <t xml:space="preserve">
</t>
    </r>
    <r>
      <rPr>
        <sz val="12"/>
        <color rgb="FF000000"/>
        <rFont val="Times New Roman"/>
        <family val="1"/>
      </rPr>
      <t xml:space="preserve">finansējums 2023.gadā, euro </t>
    </r>
  </si>
  <si>
    <t>Prognozējamais pacientu skaits (pacienti, kas jau saņem terapiju + potenciālie pacienti nākošajā gadā) 2023.gadā*</t>
  </si>
  <si>
    <r>
      <t xml:space="preserve">Prognozētais nepieciešamais </t>
    </r>
    <r>
      <rPr>
        <b/>
        <sz val="12"/>
        <color rgb="FF000000"/>
        <rFont val="Times New Roman"/>
        <family val="1"/>
      </rPr>
      <t xml:space="preserve">papildus  </t>
    </r>
    <r>
      <rPr>
        <b/>
        <sz val="12"/>
        <color rgb="FF000000"/>
        <rFont val="Times New Roman"/>
        <family val="1"/>
      </rPr>
      <t xml:space="preserve">
</t>
    </r>
    <r>
      <rPr>
        <sz val="12"/>
        <color rgb="FF000000"/>
        <rFont val="Times New Roman"/>
        <family val="1"/>
      </rPr>
      <t xml:space="preserve">finansējums 2024.gadā, euro </t>
    </r>
  </si>
  <si>
    <t>Prognozējamais pacientu skaits (pacienti, kas jau saņem terapiju + potenciālie pacienti nākošajā gadā) 2024.gadā*</t>
  </si>
  <si>
    <t>Finansējums, kas piešķirts caur prioritārajiem pasākumiem</t>
  </si>
  <si>
    <t>Onkoloģija</t>
  </si>
  <si>
    <t>* 2022.-2024.gadā plānots turpināt terapiju esošiem 1025 pacientiem un 300 jauniem pacientiem no 2022.gada. Pacientu kāpums turpmākajos gados nav paredzēts.</t>
  </si>
  <si>
    <t>Jaunu medikamentu nodrošināšana onkoloģiskās inovatīvās terapijas uzsākšanai</t>
  </si>
  <si>
    <t>Prognozējamais pacientu skaits 1. un 2.gadā</t>
  </si>
  <si>
    <t>Viena pacienta vidējās izmaksas 1.un 2.gadā (euro)</t>
  </si>
  <si>
    <t xml:space="preserve">Prognozētais nepieciešamais 
finansējums 1.un 2. gadā, euro </t>
  </si>
  <si>
    <t>Viena pacienta vidējās izmaksas 3.gadā (euro)</t>
  </si>
  <si>
    <t>Onkoloģija jaunās zāles</t>
  </si>
  <si>
    <t>2022. un 2023. gads</t>
  </si>
  <si>
    <t>Papildus nepieciešamais finansējums 2022.gadā, euro</t>
  </si>
  <si>
    <t>Papildus nepieciešamais finansējums 2023.gadā, euro</t>
  </si>
  <si>
    <t>Papildus nepieciešamais finansējums 2024.gadā un turpmāk, euro</t>
  </si>
  <si>
    <t>Pasākumu plānots īstenot  apakšprogrammas 33.03.00 "Kompensējamo medikamentu un materiālu apmaksāšana" ietvaros</t>
  </si>
  <si>
    <t>*Ņemot vērā to, ka informācija par medikamentu cenām ir konfidenciāla, kā arī, lai novērstu iespēju ietekmēt lēmumu pieņemšanu, detalizēti aprēķini netiek sniegti.</t>
  </si>
  <si>
    <t>Jaunu zāļu iekļaušana un kompensācijas paplašināšana (tikai iesniegumi līdz 01.01.2021.)*</t>
  </si>
  <si>
    <t xml:space="preserve">Prognozētais nepieciešamais 
finansējums 1. gadā, EUR </t>
  </si>
  <si>
    <t xml:space="preserve">Prognozētais nepieciešamais 
finansējums 2. gadā, EUR </t>
  </si>
  <si>
    <t xml:space="preserve">Prognozētais nepieciešamais 
finansējums 3. gadā, EUR </t>
  </si>
  <si>
    <t>kompensācijas maiņa vecajām zālēm</t>
  </si>
  <si>
    <t xml:space="preserve">Nepieciešamo medikamentu nodrošināšana onkoloģiskās inovatīvās terapijas turpināšanai*  </t>
  </si>
  <si>
    <t>Finansējums kopā, EUR</t>
  </si>
  <si>
    <t>Prognozētais nepieciešamais 
finansējums, EUR gadā</t>
  </si>
  <si>
    <t>Nepieciešamais finansējums 2023.gadā</t>
  </si>
  <si>
    <t>Nepieciešamais finansējums 2024.gadā</t>
  </si>
  <si>
    <t>Nepieciešamais finansējums 2025.gadā un turpmāk ik gadu</t>
  </si>
  <si>
    <t>Sadalījums pa apakšprogrammām</t>
  </si>
  <si>
    <t>33.04.00 “Centralizēta medikamentu un materiālu iegāde”</t>
  </si>
  <si>
    <t>Paplašināt medikamentozās ārstēšanas iespējas RS pacientiem</t>
  </si>
  <si>
    <t>2024. gads</t>
  </si>
  <si>
    <t>2025. gads un turpmāk ik gadu</t>
  </si>
  <si>
    <t>Nr.</t>
  </si>
  <si>
    <t>Plānotais pasākums</t>
  </si>
  <si>
    <t>Prognozējamais pacientu/izmeklējumu skaits</t>
  </si>
  <si>
    <t>Prognozējamās izmaksas 1. gadā, euro</t>
  </si>
  <si>
    <t>Prognozējamās izmaksas 2. gadā, euro</t>
  </si>
  <si>
    <t>Prognozējamās izmaksas 3. gadā, euro</t>
  </si>
  <si>
    <t>Regulāri sagatavot un iesniegt VM nepieciešamo finansējuma apjomu jaunu zāļu iekļaušanai reto slimību ārstēšanai</t>
  </si>
  <si>
    <t>Kopā:</t>
  </si>
  <si>
    <t>Budžeta programmas (apakšprogrammas kods un nosaukums)</t>
  </si>
  <si>
    <t xml:space="preserve">Medikamentu kompensācijas apmēra palielināšanai no 50% uz 75%
</t>
  </si>
  <si>
    <t>Kompensācijas apmērs</t>
  </si>
  <si>
    <t>Vidējās izmaksas 
uz 1 pacientu, 
euro</t>
  </si>
  <si>
    <t>Prognozētais nepieciešamais 
finansējums gadā (2023.gads un turpmāk ik gadu), euro</t>
  </si>
  <si>
    <t>Starpība (deficīts)</t>
  </si>
  <si>
    <t>Diagnozes:</t>
  </si>
  <si>
    <t>Diagnozes kods 
(SSK-10 klasifikācija)</t>
  </si>
  <si>
    <t>Diagnoze</t>
  </si>
  <si>
    <t>Esošais kompensācijas apmērs</t>
  </si>
  <si>
    <t>Plānotais kompensācijas apmērs</t>
  </si>
  <si>
    <t>Asins un asinsrades orgānu slimības</t>
  </si>
  <si>
    <t>D76.1</t>
  </si>
  <si>
    <t>Hemofagocītiska limfohistiocitoze</t>
  </si>
  <si>
    <t>D76.2</t>
  </si>
  <si>
    <t>Ar infekciju saistīts hemofagocītisks sindroms</t>
  </si>
  <si>
    <t>Ādas un zemādas slimības</t>
  </si>
  <si>
    <t>L10</t>
  </si>
  <si>
    <t>Pemfiguss</t>
  </si>
  <si>
    <t>L13.0</t>
  </si>
  <si>
    <t>Dīringa slimība</t>
  </si>
  <si>
    <t>Elpošanas sistēmas slimības</t>
  </si>
  <si>
    <t>J44</t>
  </si>
  <si>
    <t xml:space="preserve">HOPS </t>
  </si>
  <si>
    <t>J47</t>
  </si>
  <si>
    <t>Bronhektāzes</t>
  </si>
  <si>
    <t>J99</t>
  </si>
  <si>
    <t>Elpošanas orgānu bojājums</t>
  </si>
  <si>
    <t>Endokrīnās, uztures un vielmaiņas slimības</t>
  </si>
  <si>
    <t>E05</t>
  </si>
  <si>
    <t>Tireotoksikoze</t>
  </si>
  <si>
    <t>E20</t>
  </si>
  <si>
    <t>Hipoparatireoze</t>
  </si>
  <si>
    <t>E25</t>
  </si>
  <si>
    <t>Adrenoģenitāli traucējumi</t>
  </si>
  <si>
    <t>E78</t>
  </si>
  <si>
    <t>Lipoproteīnu vielmaiņas traucējumi</t>
  </si>
  <si>
    <t>Gremošanas sistēmas slimības</t>
  </si>
  <si>
    <t>K25- K28</t>
  </si>
  <si>
    <t>Kuņģa, duodēna u.c. čūlas</t>
  </si>
  <si>
    <t>K86.1</t>
  </si>
  <si>
    <t>Cita veida hroniski pankreatīti</t>
  </si>
  <si>
    <t>Muskuļu, skeleta un saistaudu slimības</t>
  </si>
  <si>
    <t>M02</t>
  </si>
  <si>
    <t>Reaktīvas artropātijas</t>
  </si>
  <si>
    <t>M46, M47</t>
  </si>
  <si>
    <t>Spondilopātijas, spondilozes</t>
  </si>
  <si>
    <t>M80, M81, M82</t>
  </si>
  <si>
    <t xml:space="preserve">Osteoporoze </t>
  </si>
  <si>
    <t>Infekcijas un parazitārās slimības</t>
  </si>
  <si>
    <t>A51</t>
  </si>
  <si>
    <t>Svaigs sifiliss</t>
  </si>
  <si>
    <t>B02.2</t>
  </si>
  <si>
    <t>Jostas roze</t>
  </si>
  <si>
    <t>Nervu sistēmas slimības</t>
  </si>
  <si>
    <t>G11</t>
  </si>
  <si>
    <t>Centrālās nervu sistēmas primāras sistēmiskas atrofijas</t>
  </si>
  <si>
    <t>G24</t>
  </si>
  <si>
    <t>Distonija</t>
  </si>
  <si>
    <t>G45</t>
  </si>
  <si>
    <t>Cerbrāla transitoriska išēmiska lēkme</t>
  </si>
  <si>
    <t>G50, G54, G56, 
G60- G63, G95</t>
  </si>
  <si>
    <t>Neiropātiskās sāpes</t>
  </si>
  <si>
    <t>Uroģenitālās sistēmas slimības</t>
  </si>
  <si>
    <t>N40</t>
  </si>
  <si>
    <t>Prostatas hiperplāzija</t>
  </si>
  <si>
    <t>N80</t>
  </si>
  <si>
    <t xml:space="preserve">Endometrioze </t>
  </si>
  <si>
    <t>N92, N95</t>
  </si>
  <si>
    <t>Menstruāli traucējumi</t>
  </si>
  <si>
    <t>Jaunu diagnožu iekļaušana KZS un kompensācijas paplašināšana KZS jaunām diagnozēm ar esošām un jaunām zālēm</t>
  </si>
  <si>
    <t>Diagnožu grupa</t>
  </si>
  <si>
    <t xml:space="preserve">Prognozējamais pacientu skaits 2. gadā </t>
  </si>
  <si>
    <t>Prognozējamās izmaksas 1 pac.2. gadā, euro</t>
  </si>
  <si>
    <t>Prognozētais nepieciešamais 
finansējums, euro 2. gadā</t>
  </si>
  <si>
    <t xml:space="preserve">Prognozējamais pacientu skaits 3. gadā </t>
  </si>
  <si>
    <t>Prognozējamās izmaksas 1 pac.3  gadā, euro</t>
  </si>
  <si>
    <t>Prognozētais nepieciešamais 
finansējums, euro 3. gadā</t>
  </si>
  <si>
    <t>Sirds- asinsvadu sistēma</t>
  </si>
  <si>
    <t>Plaušu embolija (I26) (75%)</t>
  </si>
  <si>
    <t>Dziļo vēnu tromboze (I80, I82) (75%)</t>
  </si>
  <si>
    <t>Faktori, kas ietekmē veselību</t>
  </si>
  <si>
    <t>Ortopēdisks locītavas implantāts (Z96.6)
Cits precizēts funkcionāls implantāts (Z96.8)</t>
  </si>
  <si>
    <t>Transplantācija (Z94)</t>
  </si>
  <si>
    <t>Acu un to palīgorgānu slimības</t>
  </si>
  <si>
    <t>Iridociklīts, uveīts (H20)</t>
  </si>
  <si>
    <t>Nervu sistēma</t>
  </si>
  <si>
    <t>Migrēna (G43)</t>
  </si>
  <si>
    <t>Ginekoloģija</t>
  </si>
  <si>
    <t xml:space="preserve">Mioma </t>
  </si>
  <si>
    <t>KOPĀ</t>
  </si>
  <si>
    <t>2023.gadā</t>
  </si>
  <si>
    <t>2024.gadā</t>
  </si>
  <si>
    <t>2025.gadā</t>
  </si>
  <si>
    <t>Nepieciešamo medikamentu nodrošināšana onkoloģiskās inovatīvās terapijas turpināšanai un sirds un asisnsvadu sistēmas terapijas turpināšanai  (terapija uzsākta 2018.gadā)</t>
  </si>
  <si>
    <t>2022.gadam piešķirtie līdzekļi</t>
  </si>
  <si>
    <t>Prognozētais nepieciešamais 
finansējums, euro gadā (2023.gads un turpmāk ik gadu)</t>
  </si>
  <si>
    <t>Prognozējamais pacientu skaits*</t>
  </si>
  <si>
    <t>Vidējās izmaksas uz 1 pacientu, euro</t>
  </si>
  <si>
    <t xml:space="preserve">Prognozējamais pacientu skaita pieaugums 2023. gadā </t>
  </si>
  <si>
    <t>Prognozētais nepieciešamais finansējums, euro 2023. gadā</t>
  </si>
  <si>
    <t xml:space="preserve">Prognozējamais pacientu pieaugums    2024. gadā </t>
  </si>
  <si>
    <t>Prognozētais nepieciešamais finansējums, euro 2024. gadā</t>
  </si>
  <si>
    <t>Prognozējamais pacientu pieaugums 2025. gadā un turpmāk ik gadu</t>
  </si>
  <si>
    <t>Prognozētais nepieciešamais finansējums, euro 2025. gadā un turpmāk ik gadu</t>
  </si>
  <si>
    <t>Pacientu skaits un izmaksas 2019.gadā</t>
  </si>
  <si>
    <t>Pacientu skaita pieaugums</t>
  </si>
  <si>
    <t xml:space="preserve">*Atbilstoši NVD Vadības informācijas sistēmas (VIS) datiem, 2019.gadā unikālo pacientu skaits pieaudzis attiecībā pret 2018.gadu par 2% ar nelielu kritumu 2020/2021 gados, tāpēc  2023.gadā tiek prognozēts 1% pieaugums un šāds ikgadējais pacientu skaita pieaugums 2% apmērā prognozēts nākošajos gados. </t>
  </si>
  <si>
    <t>Medikamentu kompensācijas apmēra palielināšana no 75% uz 100%</t>
  </si>
  <si>
    <t>Vidējās izmaksas
 uz 1 pacientu, euro</t>
  </si>
  <si>
    <t>Prognozētais nepieciešamais 
finansējums gadā (2023.gadā un turpmāk ik gadu), euro</t>
  </si>
  <si>
    <t>Diagnozes grupa / diagnoze</t>
  </si>
  <si>
    <t>Asinsrites sistēmas slimības</t>
  </si>
  <si>
    <t>I00- I02</t>
  </si>
  <si>
    <t>Reimatisms</t>
  </si>
  <si>
    <t>I10- I15</t>
  </si>
  <si>
    <t>Hipertensīvās slimības</t>
  </si>
  <si>
    <t>I20, I21, I25</t>
  </si>
  <si>
    <t>Sirds išēmiskās slimības</t>
  </si>
  <si>
    <t>I42, I47, I48, I50</t>
  </si>
  <si>
    <t>Citas sirds slimības</t>
  </si>
  <si>
    <t>I60, I61, I63, I65- I67, I69</t>
  </si>
  <si>
    <t>Cerebrovaskulāras slimības</t>
  </si>
  <si>
    <t>I70.2</t>
  </si>
  <si>
    <t>Ekstremitāšu artēriju ateroskleroze</t>
  </si>
  <si>
    <t>J45.0; J45.1; J45.8; J45.9</t>
  </si>
  <si>
    <t>Astma</t>
  </si>
  <si>
    <t>E03.0 - E03.5; E03.8</t>
  </si>
  <si>
    <t>Citi hipotireozes veidi</t>
  </si>
  <si>
    <t>E22.1</t>
  </si>
  <si>
    <t>Hiperprolaktinēmija</t>
  </si>
  <si>
    <t>E22.2</t>
  </si>
  <si>
    <t>Antidiurētiskā (ADH) hormona neatbilstošas sekrēcijas sindroms</t>
  </si>
  <si>
    <t>E22.8</t>
  </si>
  <si>
    <t>Citi hipofīzes hiperfunkcijas varianti (centrālas ģenēzes priekšlaicīga pubertāte)</t>
  </si>
  <si>
    <t>E23.1</t>
  </si>
  <si>
    <t>Medikamentu izraisīts hipopituitārisms</t>
  </si>
  <si>
    <t>E23.2</t>
  </si>
  <si>
    <t>Bezcukura diabēts (Diabetes insipidus)</t>
  </si>
  <si>
    <t>E27.1; E27.3; E27.4</t>
  </si>
  <si>
    <t>Citas virsnieru slimības</t>
  </si>
  <si>
    <t>E28.3</t>
  </si>
  <si>
    <t>Primāra olnīcu mazspēja</t>
  </si>
  <si>
    <t>E30.1</t>
  </si>
  <si>
    <t>Priekšlaicīga pubertāte</t>
  </si>
  <si>
    <t>E89.0 - E89.6; E89.8; E89.9</t>
  </si>
  <si>
    <t>Citur neklasificēti pēcmanipulāciju endokrīni un vielmaiņas traucējumi</t>
  </si>
  <si>
    <t>K91.2</t>
  </si>
  <si>
    <t>Citur neklasificēta malabsorbcija pēc ķirurģiskas operācijas</t>
  </si>
  <si>
    <t>G20</t>
  </si>
  <si>
    <t>Parkinsona slimība</t>
  </si>
  <si>
    <t>G21.0- G21.4; G21.8; G21.9</t>
  </si>
  <si>
    <t>Sekundārs parkinsonisms</t>
  </si>
  <si>
    <t>G22</t>
  </si>
  <si>
    <t>Parkinsona slimība citur klasificētu slimību dēļ</t>
  </si>
  <si>
    <t>G70.0 - G70.2; G70.8</t>
  </si>
  <si>
    <t>Myasthenia gravis un citas mioneirālas patoloģijas</t>
  </si>
  <si>
    <t>G71.2</t>
  </si>
  <si>
    <t>Iedzimtas miopātijas</t>
  </si>
  <si>
    <t>Ievainojumi, saindēšanās un citas ārējas iedarbes sekas</t>
  </si>
  <si>
    <t>T66</t>
  </si>
  <si>
    <t>Neprecizēta radiācijas ietekme</t>
  </si>
  <si>
    <t>T91.1</t>
  </si>
  <si>
    <t>Mugurkaulāja lūzuma sekas</t>
  </si>
  <si>
    <t>T91.2</t>
  </si>
  <si>
    <t>Citu krūšukurvja un iegurņa lūzumu sekas</t>
  </si>
  <si>
    <t>T91.3</t>
  </si>
  <si>
    <t>Muguras smadzeņu bojājuma sekas</t>
  </si>
  <si>
    <t>T92.4</t>
  </si>
  <si>
    <t>Augšējās ekstremitātes nerva bojājuma sekas</t>
  </si>
  <si>
    <t>T93.4</t>
  </si>
  <si>
    <t>Apakšējās ekstremitātes nerva bojājuma sekas</t>
  </si>
  <si>
    <t>Grūtniecība, dzemdības un pēcdzemdību periods</t>
  </si>
  <si>
    <t>O22.3, O22.9</t>
  </si>
  <si>
    <t>Venozas komplikācijas 
grūtniecības laikā</t>
  </si>
  <si>
    <t>O99.1, O99.4</t>
  </si>
  <si>
    <t>Citur klasificētas slimības, kas sarežģī grūtniecību, dzemdības un pēcdzemdību periodu</t>
  </si>
  <si>
    <t>Paplašināt medikamentozās terapijas pieejamību un nepārtrauktību pacientiem ar psihiskās veselības traucējumiem</t>
  </si>
  <si>
    <t>Budžeta programmas (apakšprogrammas) kods un nosaukums:</t>
  </si>
  <si>
    <t>Prognozējamais pacientu skaits 2023.gadā</t>
  </si>
  <si>
    <t>Prognozējamās izmaksas 2023. gadā, euro</t>
  </si>
  <si>
    <t>Prognozētais nepieciešamais finansējums, euro 2023.gadā</t>
  </si>
  <si>
    <t xml:space="preserve">Prognozējamais pacientu skaits 2024.gadā </t>
  </si>
  <si>
    <t>Prognozējamās izmaksas 2024. gadā, euro</t>
  </si>
  <si>
    <t>Prognozētais nepieciešamais finansējums, euro 2024.gadā</t>
  </si>
  <si>
    <t xml:space="preserve">Prognozējamais pacientu skaits 2025.gadā </t>
  </si>
  <si>
    <t>Prognozējamās izmaksas 2025. gadā, euro</t>
  </si>
  <si>
    <t>Prognozētais nepieciešamais finansējums, euro 2025.gadā un turpmāk ik gadu</t>
  </si>
  <si>
    <t>1.Uzlabota medikamentu pieejamība pacientiem ar šizofrēniju</t>
  </si>
  <si>
    <t>“depo” medikamenti pacientiem ar šizofrēniju (Xeplion)</t>
  </si>
  <si>
    <t xml:space="preserve"> Olanzapina injekcijas</t>
  </si>
  <si>
    <t>2. Palielināts kompensējamo medikamentu skaits pacientiem ar depresiju un bipolāriem traucējumiem</t>
  </si>
  <si>
    <t>Esketamīns (F33 Rekurenti depresīvi traucējumi)</t>
  </si>
  <si>
    <t>Cariprazinum (100% apmērs)</t>
  </si>
  <si>
    <t>Paloperidols pie bipolārajiem traucējumiem (75% apmērs)</t>
  </si>
  <si>
    <t>3.Palielināts medikamentu kompensācijas apmērs pacientiem ar demenci (vadlīnijās paredzētajiem medikamentiem)</t>
  </si>
  <si>
    <t>KZS jau esošie medikamenti</t>
  </si>
  <si>
    <t>Jaunās paaudzes medikamenti</t>
  </si>
  <si>
    <t>4. Jaunu diagnožu iekļaušana KZS</t>
  </si>
  <si>
    <t>F60 Specifiski personības traucējumi un F61 Jaukti un citi personības traucējumi (100% kompensācijas apmērs)</t>
  </si>
  <si>
    <t>5. Kompensācijas apmēra palielināšana F diagnozēm</t>
  </si>
  <si>
    <t>Visām dg, kam tagad ir 75% uz 100%</t>
  </si>
  <si>
    <t>Jaunu zāļu iekļaušana un kompensācijas paplašināšana</t>
  </si>
  <si>
    <t>2025.gadā un turpmāk ik gadu</t>
  </si>
  <si>
    <t>Prognozējamās izmaksas 1 pac. 1.gadā, euro</t>
  </si>
  <si>
    <t>Prognozējamās izmaksas 1 pac. 2.gadā, euro</t>
  </si>
  <si>
    <t xml:space="preserve">Prognozētais nepieciešamais 
finansējums 2. gadā, euro </t>
  </si>
  <si>
    <t>Prognozējamās izmaksas 1 pac. 3.gadā, euro</t>
  </si>
  <si>
    <t>Prognozētais nepieciešamais 
finansējums 3. gadā, euro</t>
  </si>
  <si>
    <t>Ādas slimības</t>
  </si>
  <si>
    <t>Endokrinoloģija</t>
  </si>
  <si>
    <t>Muskuļu un skeleta slimības</t>
  </si>
  <si>
    <t>29 Veselības ministrija</t>
  </si>
  <si>
    <t xml:space="preserve">Ikgadējais unikālo pacientu skaita pieaugums 2023.gadā un turpmākajos gados esošajām diagnozēm </t>
  </si>
  <si>
    <t>2.risinājums</t>
  </si>
  <si>
    <t xml:space="preserve">*Atbilstoši Finanšu ministrijas veiktajam novērtējumam Pievienotās vērtības nodokļa (turpmāk - PVN) ieņēmumi no medikamentu piegādēm 2023.gadā pie nemainīgas politikas veidotu 44 milj. euro, savukārt pie PVN samazinātās likmes 5% apmērā tie būtu 18 milj. euro. Līdz ar to ieviešot Koncepcijas 2. Risinājuma varianta pirmajā daļā paredzēto - samazināt PVN likmi no 12% uz 5% - no 2023.gada 1.janvāra tas radīs ikgadējo negatīvo fiskālo ietekmi 26 milj. euro apmērā. </t>
  </si>
  <si>
    <t>Risinājuma pasākumi</t>
  </si>
  <si>
    <t>1. pasākums*</t>
  </si>
  <si>
    <t>2. pasākums</t>
  </si>
  <si>
    <t>3. pasākums</t>
  </si>
  <si>
    <t>4. pasākums</t>
  </si>
  <si>
    <t>5. pasākums</t>
  </si>
  <si>
    <t>Risinājuma 3.pasākuma pielikums</t>
  </si>
  <si>
    <t>Risinājuma 4.pasākuma kopsavilkuma pielikums</t>
  </si>
  <si>
    <t>Risinājuma 4.pasākuma pielikums Nr.1 (dati no "Veselības aprūpes pakalpojumu onkoloģijas jomā uzlabošanas plāns 2022. - 2024. gadam")</t>
  </si>
  <si>
    <t>Risinājuma 4.pasākuma pielikums Nr.2 (dati no "Plāns reto slimību jomā 2023. - 2025.gadam" (projekts))</t>
  </si>
  <si>
    <t>Risinājuma 4.pasākuma pielikums Nr.3</t>
  </si>
  <si>
    <t>Risinājuma 4.pasākuma pielikums Nr.4</t>
  </si>
  <si>
    <t>Risinājuma 4.pasākuma pielikums Nr.5</t>
  </si>
  <si>
    <t>Risinājuma 4.pasākuma pielikums Nr.6</t>
  </si>
  <si>
    <t>Risinājuma 4.pasākuma pielikums Nr.7</t>
  </si>
  <si>
    <t>Risinājuma 4.pasākuma pielikums Nr.8 (dati no "Psihiskās veselības aprūpes uzlabošanas plāns 2023. - 2025.gadam" (projekts))</t>
  </si>
  <si>
    <t>Risinājuma 4.pasākuma pielikums Nr.9</t>
  </si>
  <si>
    <t>29_15_P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</si>
</sst>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 &quot;* #,##0.00&quot;   &quot;;&quot;-&quot;* #,##0.00&quot;   &quot;;&quot; &quot;* &quot;-&quot;#&quot;   &quot;;&quot; &quot;@&quot; &quot;"/>
    <numFmt numFmtId="165" formatCode="&quot; &quot;* #,##0&quot; &quot;;&quot;-&quot;* #,##0&quot; &quot;;&quot; &quot;* &quot;-&quot;#&quot; &quot;;&quot; &quot;@&quot; &quot;"/>
    <numFmt numFmtId="166" formatCode="&quot; &quot;* #,##0&quot; &quot;;&quot; &quot;* &quot;(&quot;#,##0&quot;)&quot;;&quot; &quot;* &quot;-&quot;#&quot; &quot;;&quot; &quot;@&quot; &quot;"/>
    <numFmt numFmtId="167" formatCode="0.00000"/>
    <numFmt numFmtId="168" formatCode="&quot; &quot;#,##0&quot; &quot;;&quot;-&quot;#,##0&quot; &quot;;&quot; -&quot;#&quot; &quot;;&quot; &quot;@&quot; &quot;"/>
    <numFmt numFmtId="169" formatCode="&quot; &quot;* #,##0.000&quot; &quot;;&quot; &quot;* &quot;(&quot;#,##0.000&quot;)&quot;;&quot; &quot;* &quot;-&quot;#&quot; &quot;;&quot; &quot;@&quot; &quot;"/>
    <numFmt numFmtId="170" formatCode="dd&quot;.&quot;mm&quot;.&quot;yyyy"/>
    <numFmt numFmtId="171" formatCode="&quot; &quot;* #,##0.00&quot; &quot;;&quot;-&quot;* #,##0.00&quot; &quot;;&quot; &quot;* &quot;-&quot;#&quot; &quot;;&quot; &quot;@&quot; &quot;"/>
  </numFmts>
  <fonts count="2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Times New Roman"/>
      <family val="1"/>
    </font>
    <font>
      <b/>
      <sz val="10"/>
      <color rgb="FF414142"/>
      <name val="Times New Roman"/>
      <family val="1"/>
    </font>
    <font>
      <sz val="10"/>
      <color rgb="FF414142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i/>
      <sz val="9"/>
      <color rgb="FF000000"/>
      <name val="Times New Roman"/>
      <family val="1"/>
    </font>
    <font>
      <i/>
      <sz val="10"/>
      <color rgb="FF000000"/>
      <name val="Times New Roman"/>
      <family val="1"/>
    </font>
    <font>
      <b/>
      <i/>
      <sz val="10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Calibri"/>
      <family val="2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Times New Roman"/>
      <family val="1"/>
    </font>
    <font>
      <sz val="11"/>
      <color rgb="FF0000FF"/>
      <name val="Times New Roman"/>
      <family val="1"/>
    </font>
    <font>
      <i/>
      <sz val="11"/>
      <color rgb="FF000000"/>
      <name val="Times New Roman"/>
      <family val="1"/>
    </font>
    <font>
      <sz val="10"/>
      <color rgb="FFFF0000"/>
      <name val="Times New Roman"/>
      <family val="1"/>
    </font>
    <font>
      <b/>
      <sz val="10"/>
      <color rgb="FF0000FF"/>
      <name val="Times New Roman"/>
      <family val="1"/>
    </font>
    <font>
      <sz val="10"/>
      <color rgb="FF0000FF"/>
      <name val="Times New Roman"/>
      <family val="1"/>
    </font>
    <font>
      <sz val="11"/>
      <color rgb="FF201F1E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E699"/>
        <bgColor rgb="FFFFE699"/>
      </patternFill>
    </fill>
    <fill>
      <patternFill patternType="solid">
        <fgColor rgb="FFFFF2CC"/>
        <bgColor rgb="FFFFF2CC"/>
      </patternFill>
    </fill>
    <fill>
      <patternFill patternType="solid">
        <fgColor rgb="FFBDD7EE"/>
        <bgColor rgb="FFBDD7EE"/>
      </patternFill>
    </fill>
    <fill>
      <patternFill patternType="solid">
        <fgColor rgb="FFFFFFFF"/>
        <bgColor rgb="FFFFFFFF"/>
      </patternFill>
    </fill>
    <fill>
      <patternFill patternType="solid">
        <fgColor rgb="FFDDEBF7"/>
        <bgColor rgb="FFDDEBF7"/>
      </patternFill>
    </fill>
    <fill>
      <patternFill patternType="solid">
        <fgColor rgb="FFB4C6E7"/>
        <bgColor rgb="FFB4C6E7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9BC2E6"/>
        <bgColor rgb="FF9BC2E6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rgb="FFBDD7EE"/>
      </patternFill>
    </fill>
    <fill>
      <patternFill patternType="solid">
        <fgColor theme="7" tint="0.59999389629810485"/>
        <bgColor rgb="FFFFFF00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medium">
        <color rgb="FF000000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medium">
        <color rgb="FF000000"/>
      </left>
      <right style="thin">
        <color rgb="FF414142"/>
      </right>
      <top style="medium">
        <color rgb="FF000000"/>
      </top>
      <bottom style="medium">
        <color rgb="FF000000"/>
      </bottom>
      <diagonal/>
    </border>
    <border>
      <left style="thin">
        <color rgb="FF414142"/>
      </left>
      <right style="thin">
        <color rgb="FF414142"/>
      </right>
      <top style="medium">
        <color rgb="FF000000"/>
      </top>
      <bottom style="medium">
        <color rgb="FF000000"/>
      </bottom>
      <diagonal/>
    </border>
    <border>
      <left style="thin">
        <color rgb="FF414142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414142"/>
      </left>
      <right style="thin">
        <color rgb="FF414142"/>
      </right>
      <top style="medium">
        <color rgb="FF000000"/>
      </top>
      <bottom style="thin">
        <color rgb="FF41414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000000"/>
      </left>
      <right style="thin">
        <color rgb="FF999999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414142"/>
      </left>
      <right/>
      <top style="thin">
        <color rgb="FF414142"/>
      </top>
      <bottom style="thin">
        <color rgb="FF414142"/>
      </bottom>
      <diagonal/>
    </border>
    <border>
      <left/>
      <right/>
      <top style="thin">
        <color rgb="FF414142"/>
      </top>
      <bottom style="thin">
        <color rgb="FF414142"/>
      </bottom>
      <diagonal/>
    </border>
    <border>
      <left/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71" fontId="1" fillId="0" borderId="0" applyFont="0" applyFill="0" applyBorder="0" applyAlignmen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</cellStyleXfs>
  <cellXfs count="326">
    <xf numFmtId="0" fontId="0" fillId="0" borderId="0" xfId="0"/>
    <xf numFmtId="0" fontId="3" fillId="0" borderId="0" xfId="0" applyFont="1"/>
    <xf numFmtId="0" fontId="4" fillId="2" borderId="4" xfId="0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3" fontId="4" fillId="2" borderId="5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center" vertical="top" wrapText="1"/>
    </xf>
    <xf numFmtId="3" fontId="4" fillId="2" borderId="2" xfId="0" applyNumberFormat="1" applyFont="1" applyFill="1" applyBorder="1" applyAlignment="1">
      <alignment horizontal="right" wrapText="1"/>
    </xf>
    <xf numFmtId="0" fontId="4" fillId="2" borderId="2" xfId="0" applyFont="1" applyFill="1" applyBorder="1" applyAlignment="1">
      <alignment horizontal="right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right" wrapText="1"/>
    </xf>
    <xf numFmtId="3" fontId="5" fillId="0" borderId="2" xfId="0" applyNumberFormat="1" applyFont="1" applyBorder="1" applyAlignment="1">
      <alignment horizontal="right" wrapText="1"/>
    </xf>
    <xf numFmtId="0" fontId="5" fillId="2" borderId="2" xfId="0" applyFont="1" applyFill="1" applyBorder="1" applyAlignment="1">
      <alignment horizontal="right" wrapText="1"/>
    </xf>
    <xf numFmtId="0" fontId="5" fillId="5" borderId="2" xfId="0" applyFont="1" applyFill="1" applyBorder="1" applyAlignment="1">
      <alignment vertical="top" wrapText="1"/>
    </xf>
    <xf numFmtId="3" fontId="5" fillId="5" borderId="2" xfId="0" applyNumberFormat="1" applyFont="1" applyFill="1" applyBorder="1" applyAlignment="1">
      <alignment horizontal="right" wrapText="1"/>
    </xf>
    <xf numFmtId="0" fontId="4" fillId="5" borderId="2" xfId="0" applyFont="1" applyFill="1" applyBorder="1" applyAlignment="1">
      <alignment horizontal="right" wrapText="1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6" borderId="7" xfId="3" applyFont="1" applyFill="1" applyBorder="1" applyAlignment="1">
      <alignment horizontal="center" vertical="center" wrapText="1"/>
    </xf>
    <xf numFmtId="3" fontId="6" fillId="6" borderId="7" xfId="3" applyNumberFormat="1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3" fontId="6" fillId="6" borderId="8" xfId="3" applyNumberFormat="1" applyFont="1" applyFill="1" applyBorder="1" applyAlignment="1">
      <alignment horizontal="center" vertical="center" wrapText="1"/>
    </xf>
    <xf numFmtId="3" fontId="6" fillId="6" borderId="9" xfId="3" applyNumberFormat="1" applyFont="1" applyFill="1" applyBorder="1" applyAlignment="1">
      <alignment horizontal="center" vertical="center" wrapText="1"/>
    </xf>
    <xf numFmtId="0" fontId="6" fillId="0" borderId="10" xfId="3" applyFont="1" applyBorder="1" applyAlignment="1">
      <alignment horizontal="left" vertical="center" wrapText="1"/>
    </xf>
    <xf numFmtId="3" fontId="6" fillId="0" borderId="10" xfId="3" applyNumberFormat="1" applyFont="1" applyBorder="1" applyAlignment="1">
      <alignment horizontal="center" vertical="center"/>
    </xf>
    <xf numFmtId="3" fontId="6" fillId="0" borderId="7" xfId="3" applyNumberFormat="1" applyFont="1" applyBorder="1" applyAlignment="1">
      <alignment horizontal="center" vertical="center"/>
    </xf>
    <xf numFmtId="3" fontId="7" fillId="4" borderId="7" xfId="3" applyNumberFormat="1" applyFont="1" applyFill="1" applyBorder="1" applyAlignment="1">
      <alignment horizontal="center" vertical="center"/>
    </xf>
    <xf numFmtId="3" fontId="7" fillId="4" borderId="9" xfId="3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6" borderId="7" xfId="0" applyFont="1" applyFill="1" applyBorder="1" applyAlignment="1">
      <alignment horizontal="left" vertical="center"/>
    </xf>
    <xf numFmtId="0" fontId="6" fillId="6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vertical="center"/>
    </xf>
    <xf numFmtId="3" fontId="7" fillId="7" borderId="7" xfId="0" applyNumberFormat="1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vertical="center" wrapText="1"/>
    </xf>
    <xf numFmtId="0" fontId="8" fillId="5" borderId="7" xfId="0" applyFont="1" applyFill="1" applyBorder="1" applyAlignment="1">
      <alignment horizontal="right" vertical="center" wrapText="1"/>
    </xf>
    <xf numFmtId="3" fontId="8" fillId="0" borderId="7" xfId="0" applyNumberFormat="1" applyFont="1" applyBorder="1" applyAlignment="1">
      <alignment horizontal="right" vertical="center" wrapText="1"/>
    </xf>
    <xf numFmtId="0" fontId="6" fillId="0" borderId="7" xfId="0" applyFont="1" applyBorder="1"/>
    <xf numFmtId="0" fontId="6" fillId="0" borderId="7" xfId="0" applyFont="1" applyBorder="1" applyAlignment="1">
      <alignment horizontal="left" vertical="center" wrapText="1"/>
    </xf>
    <xf numFmtId="3" fontId="6" fillId="0" borderId="7" xfId="0" applyNumberFormat="1" applyFont="1" applyBorder="1" applyAlignment="1">
      <alignment horizontal="right" vertical="center"/>
    </xf>
    <xf numFmtId="3" fontId="8" fillId="0" borderId="7" xfId="0" applyNumberFormat="1" applyFont="1" applyBorder="1" applyAlignment="1">
      <alignment horizontal="right" vertical="center"/>
    </xf>
    <xf numFmtId="3" fontId="8" fillId="5" borderId="7" xfId="0" applyNumberFormat="1" applyFont="1" applyFill="1" applyBorder="1" applyAlignment="1">
      <alignment horizontal="right" vertical="center" wrapText="1"/>
    </xf>
    <xf numFmtId="0" fontId="7" fillId="0" borderId="0" xfId="6" applyFont="1" applyAlignment="1">
      <alignment horizontal="left" vertical="center" wrapText="1"/>
    </xf>
    <xf numFmtId="0" fontId="6" fillId="0" borderId="0" xfId="6" applyFont="1"/>
    <xf numFmtId="0" fontId="7" fillId="0" borderId="0" xfId="6" applyFont="1" applyAlignment="1">
      <alignment vertical="center"/>
    </xf>
    <xf numFmtId="3" fontId="6" fillId="0" borderId="0" xfId="4" applyNumberFormat="1" applyFont="1" applyAlignment="1">
      <alignment vertical="center" wrapText="1"/>
    </xf>
    <xf numFmtId="0" fontId="9" fillId="0" borderId="0" xfId="4" applyFont="1" applyAlignment="1">
      <alignment vertical="center" wrapText="1"/>
    </xf>
    <xf numFmtId="0" fontId="6" fillId="0" borderId="0" xfId="4" applyFont="1" applyAlignment="1">
      <alignment horizontal="center" vertical="center" wrapText="1"/>
    </xf>
    <xf numFmtId="0" fontId="6" fillId="0" borderId="7" xfId="6" applyFont="1" applyBorder="1" applyAlignment="1">
      <alignment horizontal="center" vertical="center"/>
    </xf>
    <xf numFmtId="0" fontId="6" fillId="0" borderId="7" xfId="6" applyFont="1" applyBorder="1" applyAlignment="1">
      <alignment horizontal="center" vertical="center" wrapText="1"/>
    </xf>
    <xf numFmtId="3" fontId="6" fillId="0" borderId="0" xfId="4" applyNumberFormat="1" applyFont="1" applyAlignment="1">
      <alignment horizontal="center" vertical="center" wrapText="1"/>
    </xf>
    <xf numFmtId="3" fontId="6" fillId="0" borderId="7" xfId="6" applyNumberFormat="1" applyFont="1" applyBorder="1" applyAlignment="1">
      <alignment horizontal="left" vertical="center" wrapText="1"/>
    </xf>
    <xf numFmtId="4" fontId="7" fillId="5" borderId="7" xfId="6" applyNumberFormat="1" applyFont="1" applyFill="1" applyBorder="1" applyAlignment="1">
      <alignment horizontal="center" vertical="center"/>
    </xf>
    <xf numFmtId="3" fontId="6" fillId="0" borderId="7" xfId="6" applyNumberFormat="1" applyFont="1" applyBorder="1" applyAlignment="1">
      <alignment horizontal="center" vertical="center"/>
    </xf>
    <xf numFmtId="3" fontId="6" fillId="0" borderId="0" xfId="6" applyNumberFormat="1" applyFont="1" applyAlignment="1">
      <alignment horizontal="right"/>
    </xf>
    <xf numFmtId="3" fontId="10" fillId="0" borderId="0" xfId="6" applyNumberFormat="1" applyFont="1" applyAlignment="1">
      <alignment horizontal="right"/>
    </xf>
    <xf numFmtId="3" fontId="6" fillId="0" borderId="0" xfId="4" applyNumberFormat="1" applyFont="1" applyAlignment="1">
      <alignment horizontal="right" wrapText="1"/>
    </xf>
    <xf numFmtId="0" fontId="6" fillId="0" borderId="0" xfId="4" applyFont="1"/>
    <xf numFmtId="0" fontId="7" fillId="0" borderId="0" xfId="4" applyFont="1" applyAlignment="1">
      <alignment horizontal="right"/>
    </xf>
    <xf numFmtId="3" fontId="7" fillId="0" borderId="0" xfId="4" applyNumberFormat="1" applyFont="1"/>
    <xf numFmtId="0" fontId="6" fillId="8" borderId="7" xfId="0" applyFont="1" applyFill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 wrapText="1"/>
    </xf>
    <xf numFmtId="0" fontId="7" fillId="5" borderId="7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wrapText="1"/>
    </xf>
    <xf numFmtId="3" fontId="7" fillId="5" borderId="7" xfId="0" applyNumberFormat="1" applyFont="1" applyFill="1" applyBorder="1" applyAlignment="1">
      <alignment horizontal="center" vertical="center" wrapText="1"/>
    </xf>
    <xf numFmtId="1" fontId="6" fillId="5" borderId="7" xfId="0" applyNumberFormat="1" applyFont="1" applyFill="1" applyBorder="1" applyAlignment="1">
      <alignment horizontal="left"/>
    </xf>
    <xf numFmtId="3" fontId="6" fillId="5" borderId="7" xfId="0" applyNumberFormat="1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left" vertical="top" wrapText="1"/>
    </xf>
    <xf numFmtId="0" fontId="6" fillId="5" borderId="7" xfId="0" applyFont="1" applyFill="1" applyBorder="1" applyAlignment="1">
      <alignment horizontal="left"/>
    </xf>
    <xf numFmtId="3" fontId="7" fillId="9" borderId="7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1" fillId="3" borderId="7" xfId="3" applyFont="1" applyFill="1" applyBorder="1" applyAlignment="1">
      <alignment horizontal="left" vertical="center" wrapText="1"/>
    </xf>
    <xf numFmtId="3" fontId="11" fillId="3" borderId="7" xfId="3" applyNumberFormat="1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right"/>
    </xf>
    <xf numFmtId="165" fontId="11" fillId="5" borderId="7" xfId="1" applyNumberFormat="1" applyFont="1" applyFill="1" applyBorder="1" applyAlignment="1">
      <alignment horizontal="right" vertical="center"/>
    </xf>
    <xf numFmtId="0" fontId="11" fillId="0" borderId="7" xfId="0" applyFont="1" applyBorder="1" applyAlignment="1">
      <alignment horizontal="right" wrapText="1"/>
    </xf>
    <xf numFmtId="165" fontId="11" fillId="0" borderId="7" xfId="1" applyNumberFormat="1" applyFont="1" applyBorder="1" applyAlignment="1">
      <alignment horizontal="right" vertical="center"/>
    </xf>
    <xf numFmtId="165" fontId="11" fillId="0" borderId="7" xfId="1" applyNumberFormat="1" applyFont="1" applyFill="1" applyBorder="1" applyAlignment="1">
      <alignment horizontal="right" vertical="center"/>
    </xf>
    <xf numFmtId="0" fontId="13" fillId="0" borderId="0" xfId="0" applyFont="1"/>
    <xf numFmtId="165" fontId="11" fillId="0" borderId="7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165" fontId="11" fillId="0" borderId="7" xfId="1" applyNumberFormat="1" applyFont="1" applyFill="1" applyBorder="1" applyAlignment="1">
      <alignment horizontal="center" vertical="center" wrapText="1"/>
    </xf>
    <xf numFmtId="170" fontId="11" fillId="5" borderId="0" xfId="0" applyNumberFormat="1" applyFont="1" applyFill="1" applyAlignment="1">
      <alignment horizontal="right"/>
    </xf>
    <xf numFmtId="0" fontId="11" fillId="3" borderId="7" xfId="3" applyFont="1" applyFill="1" applyBorder="1" applyAlignment="1">
      <alignment horizontal="center" vertical="center" wrapText="1"/>
    </xf>
    <xf numFmtId="0" fontId="11" fillId="3" borderId="9" xfId="3" applyFont="1" applyFill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3" fontId="11" fillId="0" borderId="7" xfId="0" applyNumberFormat="1" applyFont="1" applyBorder="1" applyAlignment="1">
      <alignment horizontal="center" vertical="center" wrapText="1"/>
    </xf>
    <xf numFmtId="3" fontId="11" fillId="5" borderId="7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/>
    </xf>
    <xf numFmtId="3" fontId="11" fillId="0" borderId="9" xfId="0" applyNumberFormat="1" applyFont="1" applyBorder="1" applyAlignment="1">
      <alignment horizontal="center" vertical="center" wrapText="1"/>
    </xf>
    <xf numFmtId="0" fontId="11" fillId="5" borderId="0" xfId="0" applyFont="1" applyFill="1"/>
    <xf numFmtId="0" fontId="14" fillId="0" borderId="0" xfId="0" applyFont="1"/>
    <xf numFmtId="171" fontId="11" fillId="0" borderId="0" xfId="0" applyNumberFormat="1" applyFont="1"/>
    <xf numFmtId="0" fontId="11" fillId="5" borderId="7" xfId="0" applyFont="1" applyFill="1" applyBorder="1"/>
    <xf numFmtId="165" fontId="11" fillId="5" borderId="7" xfId="1" applyNumberFormat="1" applyFont="1" applyFill="1" applyBorder="1" applyAlignment="1">
      <alignment horizontal="center" vertical="center"/>
    </xf>
    <xf numFmtId="171" fontId="11" fillId="5" borderId="7" xfId="1" applyFont="1" applyFill="1" applyBorder="1" applyAlignment="1">
      <alignment horizontal="center" vertical="center"/>
    </xf>
    <xf numFmtId="171" fontId="11" fillId="3" borderId="7" xfId="1" applyFont="1" applyFill="1" applyBorder="1" applyAlignment="1">
      <alignment horizontal="center" vertical="center"/>
    </xf>
    <xf numFmtId="165" fontId="12" fillId="0" borderId="7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5" fillId="0" borderId="0" xfId="0" applyFont="1"/>
    <xf numFmtId="164" fontId="11" fillId="0" borderId="0" xfId="0" applyNumberFormat="1" applyFont="1"/>
    <xf numFmtId="0" fontId="12" fillId="3" borderId="7" xfId="0" applyFont="1" applyFill="1" applyBorder="1" applyAlignment="1">
      <alignment horizontal="center" vertical="center" wrapText="1"/>
    </xf>
    <xf numFmtId="3" fontId="12" fillId="2" borderId="7" xfId="0" applyNumberFormat="1" applyFont="1" applyFill="1" applyBorder="1" applyAlignment="1">
      <alignment horizontal="center"/>
    </xf>
    <xf numFmtId="0" fontId="12" fillId="8" borderId="7" xfId="0" applyFont="1" applyFill="1" applyBorder="1" applyAlignment="1">
      <alignment horizontal="center" vertical="center" wrapText="1"/>
    </xf>
    <xf numFmtId="165" fontId="12" fillId="9" borderId="7" xfId="0" applyNumberFormat="1" applyFont="1" applyFill="1" applyBorder="1" applyAlignment="1">
      <alignment horizontal="center" vertical="center"/>
    </xf>
    <xf numFmtId="165" fontId="6" fillId="0" borderId="0" xfId="0" applyNumberFormat="1" applyFont="1"/>
    <xf numFmtId="0" fontId="16" fillId="0" borderId="0" xfId="0" applyFont="1"/>
    <xf numFmtId="0" fontId="7" fillId="0" borderId="0" xfId="0" applyFont="1"/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6" fillId="8" borderId="7" xfId="3" applyFont="1" applyFill="1" applyBorder="1" applyAlignment="1">
      <alignment horizontal="left" vertical="center" wrapText="1"/>
    </xf>
    <xf numFmtId="3" fontId="6" fillId="8" borderId="7" xfId="3" applyNumberFormat="1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right" vertical="top" wrapText="1"/>
    </xf>
    <xf numFmtId="165" fontId="6" fillId="5" borderId="7" xfId="1" applyNumberFormat="1" applyFont="1" applyFill="1" applyBorder="1" applyAlignment="1">
      <alignment horizontal="right" vertical="center"/>
    </xf>
    <xf numFmtId="165" fontId="7" fillId="0" borderId="7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165" fontId="7" fillId="0" borderId="7" xfId="1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3" fontId="6" fillId="0" borderId="0" xfId="0" applyNumberFormat="1" applyFont="1"/>
    <xf numFmtId="0" fontId="6" fillId="6" borderId="12" xfId="0" applyFont="1" applyFill="1" applyBorder="1" applyAlignment="1">
      <alignment horizontal="center" vertical="center" wrapText="1"/>
    </xf>
    <xf numFmtId="3" fontId="6" fillId="0" borderId="7" xfId="0" applyNumberFormat="1" applyFont="1" applyBorder="1" applyAlignment="1">
      <alignment vertical="center"/>
    </xf>
    <xf numFmtId="165" fontId="6" fillId="0" borderId="7" xfId="0" applyNumberFormat="1" applyFont="1" applyBorder="1" applyAlignment="1">
      <alignment vertical="center"/>
    </xf>
    <xf numFmtId="166" fontId="7" fillId="10" borderId="7" xfId="0" applyNumberFormat="1" applyFont="1" applyFill="1" applyBorder="1" applyAlignment="1">
      <alignment horizontal="center" vertical="center"/>
    </xf>
    <xf numFmtId="0" fontId="16" fillId="0" borderId="0" xfId="2" applyFont="1"/>
    <xf numFmtId="0" fontId="6" fillId="0" borderId="0" xfId="2" applyFont="1"/>
    <xf numFmtId="0" fontId="16" fillId="6" borderId="7" xfId="2" applyFont="1" applyFill="1" applyBorder="1" applyAlignment="1">
      <alignment horizontal="center" vertical="center"/>
    </xf>
    <xf numFmtId="3" fontId="7" fillId="5" borderId="10" xfId="2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wrapText="1"/>
    </xf>
    <xf numFmtId="3" fontId="6" fillId="0" borderId="7" xfId="2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6" fillId="0" borderId="14" xfId="2" applyNumberFormat="1" applyFont="1" applyBorder="1" applyAlignment="1">
      <alignment vertical="center"/>
    </xf>
    <xf numFmtId="3" fontId="6" fillId="5" borderId="7" xfId="2" applyNumberFormat="1" applyFont="1" applyFill="1" applyBorder="1" applyAlignment="1">
      <alignment horizontal="center" vertical="center"/>
    </xf>
    <xf numFmtId="3" fontId="7" fillId="4" borderId="7" xfId="2" applyNumberFormat="1" applyFont="1" applyFill="1" applyBorder="1" applyAlignment="1">
      <alignment horizontal="center" vertical="center"/>
    </xf>
    <xf numFmtId="3" fontId="9" fillId="0" borderId="7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2" fillId="0" borderId="0" xfId="7" applyFont="1" applyAlignment="1">
      <alignment vertical="top"/>
    </xf>
    <xf numFmtId="2" fontId="6" fillId="6" borderId="7" xfId="3" applyNumberFormat="1" applyFont="1" applyFill="1" applyBorder="1" applyAlignment="1">
      <alignment horizontal="center" vertical="center" wrapText="1"/>
    </xf>
    <xf numFmtId="3" fontId="6" fillId="0" borderId="0" xfId="3" applyNumberFormat="1" applyFont="1" applyAlignment="1">
      <alignment horizontal="center" vertical="center" wrapText="1"/>
    </xf>
    <xf numFmtId="9" fontId="3" fillId="0" borderId="7" xfId="0" applyNumberFormat="1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/>
    </xf>
    <xf numFmtId="3" fontId="3" fillId="0" borderId="0" xfId="3" applyNumberFormat="1" applyFont="1" applyAlignment="1">
      <alignment horizontal="center" vertical="center"/>
    </xf>
    <xf numFmtId="167" fontId="0" fillId="0" borderId="0" xfId="0" applyNumberFormat="1"/>
    <xf numFmtId="3" fontId="18" fillId="4" borderId="7" xfId="0" applyNumberFormat="1" applyFont="1" applyFill="1" applyBorder="1" applyAlignment="1">
      <alignment horizontal="center" vertical="center"/>
    </xf>
    <xf numFmtId="3" fontId="18" fillId="0" borderId="0" xfId="3" applyNumberFormat="1" applyFont="1" applyAlignment="1">
      <alignment horizontal="center" vertical="center"/>
    </xf>
    <xf numFmtId="0" fontId="3" fillId="0" borderId="0" xfId="3" applyFont="1" applyAlignment="1">
      <alignment horizontal="center" vertical="center" wrapText="1"/>
    </xf>
    <xf numFmtId="2" fontId="3" fillId="0" borderId="0" xfId="3" applyNumberFormat="1" applyFont="1" applyAlignment="1">
      <alignment horizontal="center" vertical="center" wrapText="1"/>
    </xf>
    <xf numFmtId="0" fontId="18" fillId="0" borderId="0" xfId="0" applyFont="1"/>
    <xf numFmtId="2" fontId="19" fillId="0" borderId="0" xfId="0" applyNumberFormat="1" applyFont="1"/>
    <xf numFmtId="0" fontId="6" fillId="0" borderId="7" xfId="3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2" fontId="6" fillId="0" borderId="7" xfId="0" applyNumberFormat="1" applyFont="1" applyBorder="1" applyAlignment="1">
      <alignment horizontal="center" vertical="center" wrapText="1"/>
    </xf>
    <xf numFmtId="0" fontId="20" fillId="0" borderId="0" xfId="0" applyFont="1"/>
    <xf numFmtId="0" fontId="0" fillId="0" borderId="16" xfId="0" applyBorder="1"/>
    <xf numFmtId="0" fontId="3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/>
    </xf>
    <xf numFmtId="9" fontId="3" fillId="0" borderId="7" xfId="0" applyNumberFormat="1" applyFont="1" applyBorder="1" applyAlignment="1">
      <alignment horizontal="center" vertical="top"/>
    </xf>
    <xf numFmtId="9" fontId="3" fillId="0" borderId="9" xfId="0" applyNumberFormat="1" applyFont="1" applyBorder="1" applyAlignment="1">
      <alignment horizontal="center" vertical="top"/>
    </xf>
    <xf numFmtId="0" fontId="0" fillId="0" borderId="17" xfId="0" applyBorder="1"/>
    <xf numFmtId="0" fontId="3" fillId="0" borderId="7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2" fontId="3" fillId="0" borderId="0" xfId="0" applyNumberFormat="1" applyFont="1" applyAlignment="1">
      <alignment horizontal="center" vertical="top"/>
    </xf>
    <xf numFmtId="9" fontId="3" fillId="0" borderId="0" xfId="0" applyNumberFormat="1" applyFont="1" applyAlignment="1">
      <alignment horizontal="center" vertical="top"/>
    </xf>
    <xf numFmtId="0" fontId="7" fillId="0" borderId="0" xfId="3" applyFont="1" applyAlignment="1">
      <alignment horizontal="left" vertical="center"/>
    </xf>
    <xf numFmtId="0" fontId="6" fillId="0" borderId="15" xfId="3" applyFont="1" applyBorder="1" applyAlignment="1">
      <alignment horizontal="left" vertical="center"/>
    </xf>
    <xf numFmtId="3" fontId="6" fillId="0" borderId="0" xfId="3" applyNumberFormat="1" applyFont="1" applyAlignment="1">
      <alignment horizontal="center" vertical="center"/>
    </xf>
    <xf numFmtId="3" fontId="7" fillId="0" borderId="0" xfId="3" applyNumberFormat="1" applyFont="1" applyAlignment="1">
      <alignment horizontal="center" vertical="center"/>
    </xf>
    <xf numFmtId="3" fontId="6" fillId="6" borderId="10" xfId="3" applyNumberFormat="1" applyFont="1" applyFill="1" applyBorder="1" applyAlignment="1">
      <alignment horizontal="center" vertical="center" wrapText="1"/>
    </xf>
    <xf numFmtId="3" fontId="6" fillId="6" borderId="19" xfId="3" applyNumberFormat="1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center" wrapText="1"/>
    </xf>
    <xf numFmtId="0" fontId="6" fillId="0" borderId="7" xfId="3" applyFont="1" applyBorder="1" applyAlignment="1">
      <alignment horizontal="left" vertical="center" wrapText="1"/>
    </xf>
    <xf numFmtId="0" fontId="6" fillId="0" borderId="9" xfId="3" applyFont="1" applyBorder="1" applyAlignment="1">
      <alignment horizontal="left" vertical="center" wrapText="1"/>
    </xf>
    <xf numFmtId="0" fontId="6" fillId="0" borderId="9" xfId="0" applyFont="1" applyBorder="1"/>
    <xf numFmtId="0" fontId="6" fillId="0" borderId="7" xfId="0" applyFont="1" applyBorder="1" applyAlignment="1">
      <alignment horizontal="center"/>
    </xf>
    <xf numFmtId="168" fontId="6" fillId="0" borderId="7" xfId="1" applyNumberFormat="1" applyFont="1" applyBorder="1" applyAlignment="1">
      <alignment horizontal="center" vertical="center"/>
    </xf>
    <xf numFmtId="0" fontId="6" fillId="5" borderId="9" xfId="3" applyFont="1" applyFill="1" applyBorder="1" applyAlignment="1">
      <alignment horizontal="left" vertical="center" wrapText="1"/>
    </xf>
    <xf numFmtId="3" fontId="6" fillId="5" borderId="7" xfId="3" applyNumberFormat="1" applyFont="1" applyFill="1" applyBorder="1" applyAlignment="1">
      <alignment horizontal="center" vertical="center"/>
    </xf>
    <xf numFmtId="168" fontId="6" fillId="5" borderId="7" xfId="1" applyNumberFormat="1" applyFont="1" applyFill="1" applyBorder="1" applyAlignment="1">
      <alignment horizontal="center" vertical="center"/>
    </xf>
    <xf numFmtId="0" fontId="6" fillId="0" borderId="12" xfId="3" applyFont="1" applyBorder="1" applyAlignment="1">
      <alignment horizontal="left" vertical="center" wrapText="1"/>
    </xf>
    <xf numFmtId="3" fontId="6" fillId="0" borderId="9" xfId="3" applyNumberFormat="1" applyFont="1" applyBorder="1" applyAlignment="1">
      <alignment horizontal="center" vertical="center"/>
    </xf>
    <xf numFmtId="168" fontId="6" fillId="0" borderId="7" xfId="1" applyNumberFormat="1" applyFont="1" applyFill="1" applyBorder="1" applyAlignment="1">
      <alignment horizontal="center" vertical="center"/>
    </xf>
    <xf numFmtId="3" fontId="6" fillId="5" borderId="9" xfId="0" applyNumberFormat="1" applyFont="1" applyFill="1" applyBorder="1" applyAlignment="1">
      <alignment horizontal="center"/>
    </xf>
    <xf numFmtId="1" fontId="6" fillId="0" borderId="7" xfId="0" applyNumberFormat="1" applyFont="1" applyBorder="1" applyAlignment="1">
      <alignment horizontal="center"/>
    </xf>
    <xf numFmtId="0" fontId="7" fillId="0" borderId="7" xfId="3" applyFont="1" applyBorder="1" applyAlignment="1">
      <alignment horizontal="left" vertical="center"/>
    </xf>
    <xf numFmtId="3" fontId="7" fillId="4" borderId="12" xfId="3" applyNumberFormat="1" applyFont="1" applyFill="1" applyBorder="1" applyAlignment="1">
      <alignment horizontal="center" vertical="center"/>
    </xf>
    <xf numFmtId="3" fontId="7" fillId="0" borderId="10" xfId="3" applyNumberFormat="1" applyFont="1" applyBorder="1" applyAlignment="1">
      <alignment horizontal="center" vertical="center"/>
    </xf>
    <xf numFmtId="3" fontId="7" fillId="4" borderId="19" xfId="3" applyNumberFormat="1" applyFont="1" applyFill="1" applyBorder="1" applyAlignment="1">
      <alignment horizontal="center" vertical="center"/>
    </xf>
    <xf numFmtId="0" fontId="6" fillId="0" borderId="15" xfId="0" applyFont="1" applyBorder="1"/>
    <xf numFmtId="0" fontId="6" fillId="0" borderId="0" xfId="0" applyFont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3" fontId="7" fillId="4" borderId="7" xfId="0" applyNumberFormat="1" applyFont="1" applyFill="1" applyBorder="1" applyAlignment="1">
      <alignment horizontal="center" vertical="center" wrapText="1"/>
    </xf>
    <xf numFmtId="0" fontId="21" fillId="0" borderId="0" xfId="0" applyFont="1"/>
    <xf numFmtId="0" fontId="7" fillId="6" borderId="7" xfId="0" applyFont="1" applyFill="1" applyBorder="1" applyAlignment="1">
      <alignment vertical="center"/>
    </xf>
    <xf numFmtId="0" fontId="6" fillId="5" borderId="7" xfId="0" applyFont="1" applyFill="1" applyBorder="1" applyAlignment="1">
      <alignment horizontal="center" vertical="center" wrapText="1"/>
    </xf>
    <xf numFmtId="9" fontId="6" fillId="5" borderId="7" xfId="0" applyNumberFormat="1" applyFont="1" applyFill="1" applyBorder="1" applyAlignment="1">
      <alignment horizontal="right" vertical="center"/>
    </xf>
    <xf numFmtId="0" fontId="6" fillId="5" borderId="7" xfId="0" applyFont="1" applyFill="1" applyBorder="1" applyAlignment="1">
      <alignment vertical="center"/>
    </xf>
    <xf numFmtId="3" fontId="6" fillId="5" borderId="7" xfId="0" applyNumberFormat="1" applyFont="1" applyFill="1" applyBorder="1" applyAlignment="1">
      <alignment horizontal="right" vertical="center"/>
    </xf>
    <xf numFmtId="3" fontId="7" fillId="4" borderId="7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6" fillId="6" borderId="12" xfId="0" applyFont="1" applyFill="1" applyBorder="1" applyAlignment="1">
      <alignment horizontal="center"/>
    </xf>
    <xf numFmtId="9" fontId="6" fillId="0" borderId="7" xfId="3" applyNumberFormat="1" applyFont="1" applyBorder="1" applyAlignment="1">
      <alignment horizontal="center" vertical="center" wrapText="1"/>
    </xf>
    <xf numFmtId="3" fontId="6" fillId="0" borderId="7" xfId="3" applyNumberFormat="1" applyFont="1" applyBorder="1" applyAlignment="1">
      <alignment horizontal="center" vertical="center" wrapText="1"/>
    </xf>
    <xf numFmtId="1" fontId="6" fillId="0" borderId="0" xfId="0" applyNumberFormat="1" applyFont="1"/>
    <xf numFmtId="9" fontId="6" fillId="5" borderId="7" xfId="3" applyNumberFormat="1" applyFont="1" applyFill="1" applyBorder="1" applyAlignment="1">
      <alignment horizontal="center" vertical="center" wrapText="1"/>
    </xf>
    <xf numFmtId="9" fontId="6" fillId="0" borderId="0" xfId="3" applyNumberFormat="1" applyFont="1" applyAlignment="1">
      <alignment horizontal="center" vertical="center" wrapText="1"/>
    </xf>
    <xf numFmtId="4" fontId="6" fillId="0" borderId="0" xfId="3" applyNumberFormat="1" applyFont="1" applyAlignment="1">
      <alignment horizontal="center" vertical="center" wrapText="1"/>
    </xf>
    <xf numFmtId="0" fontId="23" fillId="0" borderId="0" xfId="0" applyFont="1"/>
    <xf numFmtId="0" fontId="6" fillId="5" borderId="0" xfId="0" applyFont="1" applyFill="1"/>
    <xf numFmtId="9" fontId="6" fillId="5" borderId="7" xfId="0" applyNumberFormat="1" applyFont="1" applyFill="1" applyBorder="1" applyAlignment="1">
      <alignment horizontal="center" vertical="top" wrapText="1"/>
    </xf>
    <xf numFmtId="9" fontId="6" fillId="5" borderId="7" xfId="3" applyNumberFormat="1" applyFont="1" applyFill="1" applyBorder="1" applyAlignment="1">
      <alignment horizontal="center" vertical="top" wrapText="1"/>
    </xf>
    <xf numFmtId="9" fontId="6" fillId="0" borderId="7" xfId="3" applyNumberFormat="1" applyFont="1" applyBorder="1" applyAlignment="1">
      <alignment horizontal="center" vertical="top" wrapText="1"/>
    </xf>
    <xf numFmtId="0" fontId="6" fillId="5" borderId="7" xfId="0" applyFont="1" applyFill="1" applyBorder="1" applyAlignment="1">
      <alignment horizontal="left" vertical="top"/>
    </xf>
    <xf numFmtId="0" fontId="6" fillId="0" borderId="7" xfId="3" applyFont="1" applyBorder="1" applyAlignment="1">
      <alignment horizontal="center" vertical="top" wrapText="1"/>
    </xf>
    <xf numFmtId="0" fontId="6" fillId="0" borderId="7" xfId="3" applyFont="1" applyBorder="1" applyAlignment="1">
      <alignment horizontal="left" vertical="top" wrapText="1"/>
    </xf>
    <xf numFmtId="0" fontId="6" fillId="6" borderId="8" xfId="3" applyFont="1" applyFill="1" applyBorder="1" applyAlignment="1">
      <alignment horizontal="center" vertical="center" wrapText="1"/>
    </xf>
    <xf numFmtId="3" fontId="7" fillId="6" borderId="7" xfId="3" applyNumberFormat="1" applyFont="1" applyFill="1" applyBorder="1" applyAlignment="1">
      <alignment horizontal="center" vertical="center" wrapText="1"/>
    </xf>
    <xf numFmtId="0" fontId="6" fillId="6" borderId="8" xfId="3" applyFont="1" applyFill="1" applyBorder="1" applyAlignment="1">
      <alignment horizontal="left" vertical="center" wrapText="1"/>
    </xf>
    <xf numFmtId="0" fontId="6" fillId="6" borderId="7" xfId="3" applyFont="1" applyFill="1" applyBorder="1" applyAlignment="1">
      <alignment horizontal="left" vertical="center" wrapText="1"/>
    </xf>
    <xf numFmtId="0" fontId="6" fillId="5" borderId="8" xfId="3" applyFont="1" applyFill="1" applyBorder="1" applyAlignment="1">
      <alignment horizontal="center" vertical="center" wrapText="1"/>
    </xf>
    <xf numFmtId="3" fontId="6" fillId="5" borderId="7" xfId="3" applyNumberFormat="1" applyFont="1" applyFill="1" applyBorder="1" applyAlignment="1">
      <alignment vertical="center"/>
    </xf>
    <xf numFmtId="166" fontId="6" fillId="5" borderId="7" xfId="0" applyNumberFormat="1" applyFont="1" applyFill="1" applyBorder="1" applyAlignment="1">
      <alignment vertical="center"/>
    </xf>
    <xf numFmtId="166" fontId="6" fillId="0" borderId="7" xfId="0" applyNumberFormat="1" applyFont="1" applyBorder="1"/>
    <xf numFmtId="0" fontId="6" fillId="5" borderId="8" xfId="0" applyFont="1" applyFill="1" applyBorder="1" applyAlignment="1">
      <alignment horizontal="center" vertical="center" wrapText="1"/>
    </xf>
    <xf numFmtId="169" fontId="6" fillId="0" borderId="7" xfId="0" applyNumberFormat="1" applyFont="1" applyBorder="1" applyAlignment="1">
      <alignment vertical="center"/>
    </xf>
    <xf numFmtId="166" fontId="6" fillId="0" borderId="7" xfId="0" applyNumberFormat="1" applyFont="1" applyBorder="1" applyAlignment="1">
      <alignment vertical="center"/>
    </xf>
    <xf numFmtId="0" fontId="6" fillId="6" borderId="7" xfId="3" applyFont="1" applyFill="1" applyBorder="1" applyAlignment="1">
      <alignment vertical="center" wrapText="1"/>
    </xf>
    <xf numFmtId="3" fontId="6" fillId="0" borderId="7" xfId="3" applyNumberFormat="1" applyFont="1" applyBorder="1" applyAlignment="1">
      <alignment vertical="center"/>
    </xf>
    <xf numFmtId="1" fontId="6" fillId="5" borderId="7" xfId="0" applyNumberFormat="1" applyFont="1" applyFill="1" applyBorder="1"/>
    <xf numFmtId="1" fontId="6" fillId="5" borderId="7" xfId="0" applyNumberFormat="1" applyFont="1" applyFill="1" applyBorder="1" applyAlignment="1">
      <alignment vertical="center"/>
    </xf>
    <xf numFmtId="0" fontId="6" fillId="6" borderId="8" xfId="0" applyFont="1" applyFill="1" applyBorder="1" applyAlignment="1">
      <alignment horizontal="left" vertical="center"/>
    </xf>
    <xf numFmtId="0" fontId="6" fillId="6" borderId="7" xfId="0" applyFont="1" applyFill="1" applyBorder="1" applyAlignment="1">
      <alignment vertical="center"/>
    </xf>
    <xf numFmtId="0" fontId="6" fillId="0" borderId="8" xfId="3" applyFont="1" applyBorder="1" applyAlignment="1">
      <alignment horizontal="center" vertical="center" wrapText="1"/>
    </xf>
    <xf numFmtId="166" fontId="6" fillId="0" borderId="7" xfId="3" applyNumberFormat="1" applyFont="1" applyBorder="1" applyAlignment="1">
      <alignment vertical="center"/>
    </xf>
    <xf numFmtId="0" fontId="6" fillId="0" borderId="8" xfId="0" applyFont="1" applyBorder="1" applyAlignment="1">
      <alignment horizontal="center" vertical="center" wrapText="1"/>
    </xf>
    <xf numFmtId="166" fontId="6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3" fontId="7" fillId="5" borderId="7" xfId="3" applyNumberFormat="1" applyFont="1" applyFill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/>
    </xf>
    <xf numFmtId="3" fontId="7" fillId="4" borderId="7" xfId="0" applyNumberFormat="1" applyFont="1" applyFill="1" applyBorder="1" applyAlignment="1">
      <alignment horizontal="center" vertical="center"/>
    </xf>
    <xf numFmtId="0" fontId="6" fillId="11" borderId="7" xfId="0" applyFont="1" applyFill="1" applyBorder="1"/>
    <xf numFmtId="3" fontId="6" fillId="5" borderId="12" xfId="1" applyNumberFormat="1" applyFont="1" applyFill="1" applyBorder="1" applyAlignment="1">
      <alignment horizontal="center" vertical="center"/>
    </xf>
    <xf numFmtId="3" fontId="6" fillId="5" borderId="7" xfId="1" applyNumberFormat="1" applyFont="1" applyFill="1" applyBorder="1" applyAlignment="1">
      <alignment horizontal="center" vertical="center"/>
    </xf>
    <xf numFmtId="0" fontId="6" fillId="11" borderId="9" xfId="0" applyFont="1" applyFill="1" applyBorder="1"/>
    <xf numFmtId="3" fontId="16" fillId="5" borderId="7" xfId="3" applyNumberFormat="1" applyFont="1" applyFill="1" applyBorder="1" applyAlignment="1">
      <alignment horizontal="center" vertical="center"/>
    </xf>
    <xf numFmtId="3" fontId="16" fillId="0" borderId="0" xfId="0" applyNumberFormat="1" applyFont="1" applyAlignment="1">
      <alignment horizontal="center"/>
    </xf>
    <xf numFmtId="3" fontId="16" fillId="0" borderId="7" xfId="0" applyNumberFormat="1" applyFont="1" applyBorder="1" applyAlignment="1">
      <alignment horizontal="center"/>
    </xf>
    <xf numFmtId="0" fontId="6" fillId="11" borderId="7" xfId="0" applyFont="1" applyFill="1" applyBorder="1" applyAlignment="1">
      <alignment vertical="top"/>
    </xf>
    <xf numFmtId="3" fontId="16" fillId="0" borderId="10" xfId="0" applyNumberFormat="1" applyFont="1" applyBorder="1" applyAlignment="1">
      <alignment horizontal="center"/>
    </xf>
    <xf numFmtId="3" fontId="6" fillId="5" borderId="7" xfId="0" applyNumberFormat="1" applyFont="1" applyFill="1" applyBorder="1" applyAlignment="1">
      <alignment horizontal="center" vertical="center"/>
    </xf>
    <xf numFmtId="3" fontId="7" fillId="7" borderId="7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6" fillId="0" borderId="10" xfId="0" applyNumberFormat="1" applyFont="1" applyBorder="1" applyAlignment="1">
      <alignment horizontal="center" vertical="center"/>
    </xf>
    <xf numFmtId="3" fontId="6" fillId="5" borderId="0" xfId="5" applyNumberFormat="1" applyFont="1" applyFill="1" applyAlignment="1">
      <alignment horizontal="left" wrapText="1"/>
    </xf>
    <xf numFmtId="0" fontId="4" fillId="2" borderId="3" xfId="0" applyFont="1" applyFill="1" applyBorder="1" applyAlignment="1">
      <alignment horizontal="left" vertical="center"/>
    </xf>
    <xf numFmtId="0" fontId="24" fillId="0" borderId="0" xfId="0" applyFont="1" applyAlignment="1">
      <alignment vertical="center" wrapText="1"/>
    </xf>
    <xf numFmtId="3" fontId="6" fillId="12" borderId="7" xfId="0" applyNumberFormat="1" applyFont="1" applyFill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 wrapText="1"/>
    </xf>
    <xf numFmtId="3" fontId="4" fillId="13" borderId="2" xfId="0" applyNumberFormat="1" applyFont="1" applyFill="1" applyBorder="1" applyAlignment="1">
      <alignment horizontal="right" wrapText="1"/>
    </xf>
    <xf numFmtId="3" fontId="4" fillId="14" borderId="2" xfId="0" applyNumberFormat="1" applyFont="1" applyFill="1" applyBorder="1" applyAlignment="1">
      <alignment horizontal="right" wrapText="1"/>
    </xf>
    <xf numFmtId="3" fontId="3" fillId="0" borderId="0" xfId="0" applyNumberFormat="1" applyFont="1"/>
    <xf numFmtId="3" fontId="6" fillId="12" borderId="9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left" vertical="top" wrapText="1"/>
    </xf>
    <xf numFmtId="0" fontId="5" fillId="2" borderId="21" xfId="0" applyFont="1" applyFill="1" applyBorder="1" applyAlignment="1">
      <alignment horizontal="left" vertical="top" wrapText="1"/>
    </xf>
    <xf numFmtId="0" fontId="5" fillId="2" borderId="22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0" fillId="0" borderId="2" xfId="0" applyBorder="1"/>
    <xf numFmtId="0" fontId="4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left" vertical="center" wrapText="1"/>
    </xf>
    <xf numFmtId="0" fontId="6" fillId="6" borderId="7" xfId="3" applyFont="1" applyFill="1" applyBorder="1" applyAlignment="1">
      <alignment horizontal="center" vertical="center" wrapText="1"/>
    </xf>
    <xf numFmtId="3" fontId="6" fillId="6" borderId="7" xfId="3" applyNumberFormat="1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top"/>
    </xf>
    <xf numFmtId="0" fontId="6" fillId="6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15" borderId="19" xfId="0" applyFont="1" applyFill="1" applyBorder="1" applyAlignment="1">
      <alignment horizontal="center" vertical="center"/>
    </xf>
    <xf numFmtId="0" fontId="6" fillId="15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6" fillId="6" borderId="7" xfId="0" applyFont="1" applyFill="1" applyBorder="1" applyAlignment="1">
      <alignment horizontal="left" vertical="center"/>
    </xf>
    <xf numFmtId="0" fontId="6" fillId="6" borderId="7" xfId="0" applyFont="1" applyFill="1" applyBorder="1" applyAlignment="1">
      <alignment horizontal="center" vertical="center"/>
    </xf>
    <xf numFmtId="4" fontId="6" fillId="0" borderId="0" xfId="0" applyNumberFormat="1" applyFont="1" applyAlignment="1">
      <alignment horizontal="left" vertical="center" wrapText="1"/>
    </xf>
    <xf numFmtId="0" fontId="7" fillId="0" borderId="0" xfId="4" applyFont="1" applyAlignment="1">
      <alignment horizontal="left" wrapText="1"/>
    </xf>
    <xf numFmtId="0" fontId="6" fillId="8" borderId="7" xfId="6" applyFont="1" applyFill="1" applyBorder="1" applyAlignment="1">
      <alignment horizontal="center" vertical="center"/>
    </xf>
    <xf numFmtId="0" fontId="6" fillId="8" borderId="7" xfId="6" applyFont="1" applyFill="1" applyBorder="1" applyAlignment="1">
      <alignment horizontal="center" vertical="center" wrapText="1"/>
    </xf>
    <xf numFmtId="0" fontId="0" fillId="0" borderId="0" xfId="0"/>
    <xf numFmtId="0" fontId="6" fillId="8" borderId="7" xfId="0" applyFont="1" applyFill="1" applyBorder="1" applyAlignment="1">
      <alignment horizontal="center" vertical="center" wrapText="1"/>
    </xf>
    <xf numFmtId="0" fontId="9" fillId="0" borderId="11" xfId="4" applyFont="1" applyBorder="1" applyAlignment="1">
      <alignment horizontal="left"/>
    </xf>
    <xf numFmtId="0" fontId="12" fillId="3" borderId="7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0" fillId="0" borderId="13" xfId="0" applyBorder="1"/>
    <xf numFmtId="0" fontId="9" fillId="0" borderId="7" xfId="0" applyFont="1" applyBorder="1" applyAlignment="1">
      <alignment horizontal="left" vertical="center" wrapText="1"/>
    </xf>
    <xf numFmtId="0" fontId="7" fillId="6" borderId="7" xfId="2" applyFont="1" applyFill="1" applyBorder="1" applyAlignment="1">
      <alignment horizontal="center" vertical="top"/>
    </xf>
    <xf numFmtId="4" fontId="7" fillId="5" borderId="7" xfId="2" applyNumberFormat="1" applyFont="1" applyFill="1" applyBorder="1" applyAlignment="1">
      <alignment horizontal="left" vertical="center" wrapText="1"/>
    </xf>
    <xf numFmtId="0" fontId="18" fillId="0" borderId="18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12" fillId="0" borderId="15" xfId="7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6" fillId="0" borderId="7" xfId="3" applyFont="1" applyBorder="1" applyAlignment="1">
      <alignment horizontal="left" vertical="center" wrapText="1"/>
    </xf>
    <xf numFmtId="0" fontId="6" fillId="6" borderId="7" xfId="3" applyFont="1" applyFill="1" applyBorder="1" applyAlignment="1">
      <alignment horizontal="center" vertical="center"/>
    </xf>
    <xf numFmtId="0" fontId="6" fillId="6" borderId="9" xfId="3" applyFont="1" applyFill="1" applyBorder="1" applyAlignment="1">
      <alignment horizontal="center" vertical="center" wrapText="1"/>
    </xf>
    <xf numFmtId="3" fontId="7" fillId="6" borderId="7" xfId="3" applyNumberFormat="1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left" vertical="top" wrapText="1"/>
    </xf>
    <xf numFmtId="0" fontId="7" fillId="0" borderId="7" xfId="3" applyFont="1" applyBorder="1" applyAlignment="1">
      <alignment horizontal="center" vertical="top" wrapText="1"/>
    </xf>
    <xf numFmtId="0" fontId="6" fillId="0" borderId="7" xfId="3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6" fillId="0" borderId="7" xfId="0" applyFont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/>
    </xf>
  </cellXfs>
  <cellStyles count="8">
    <cellStyle name="Komats" xfId="1" builtinId="3" customBuiltin="1"/>
    <cellStyle name="Normal 2" xfId="2" xr:uid="{00000000-0005-0000-0000-000002000000}"/>
    <cellStyle name="Normal 2 12" xfId="3" xr:uid="{00000000-0005-0000-0000-000003000000}"/>
    <cellStyle name="Normal 2 2" xfId="4" xr:uid="{00000000-0005-0000-0000-000004000000}"/>
    <cellStyle name="Normal 2 2 2 2" xfId="5" xr:uid="{00000000-0005-0000-0000-000005000000}"/>
    <cellStyle name="Normal 3 3" xfId="6" xr:uid="{00000000-0005-0000-0000-000006000000}"/>
    <cellStyle name="Normal_Sheet1 2" xfId="7" xr:uid="{00000000-0005-0000-0000-000007000000}"/>
    <cellStyle name="Parasts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2"/>
  <sheetViews>
    <sheetView zoomScale="64" zoomScaleNormal="64" workbookViewId="0">
      <selection activeCell="B13" sqref="B13"/>
    </sheetView>
  </sheetViews>
  <sheetFormatPr defaultColWidth="8.7265625" defaultRowHeight="14" x14ac:dyDescent="0.3"/>
  <cols>
    <col min="1" max="1" width="17.26953125" style="1" customWidth="1"/>
    <col min="2" max="2" width="28.1796875" style="1" customWidth="1"/>
    <col min="3" max="3" width="30.54296875" style="1" customWidth="1"/>
    <col min="4" max="4" width="18.26953125" style="1" customWidth="1"/>
    <col min="5" max="5" width="16.453125" style="1" customWidth="1"/>
    <col min="6" max="6" width="15" style="1" customWidth="1"/>
    <col min="7" max="7" width="16.54296875" style="1" customWidth="1"/>
    <col min="8" max="8" width="14.7265625" style="1" customWidth="1"/>
    <col min="9" max="9" width="16.1796875" style="1" customWidth="1"/>
    <col min="10" max="10" width="15.1796875" style="1" customWidth="1"/>
    <col min="11" max="11" width="15.7265625" style="1" customWidth="1"/>
    <col min="12" max="12" width="13.7265625" style="1" customWidth="1"/>
    <col min="13" max="13" width="8.7265625" style="1" customWidth="1"/>
    <col min="14" max="16384" width="8.7265625" style="1"/>
  </cols>
  <sheetData>
    <row r="2" spans="1:12" ht="14.5" thickBot="1" x14ac:dyDescent="0.35">
      <c r="A2" s="269" t="s">
        <v>0</v>
      </c>
      <c r="B2" s="269" t="s">
        <v>340</v>
      </c>
      <c r="C2" s="269" t="s">
        <v>1</v>
      </c>
      <c r="D2" s="278" t="s">
        <v>2</v>
      </c>
      <c r="E2" s="278"/>
      <c r="F2" s="278"/>
      <c r="G2" s="278" t="s">
        <v>3</v>
      </c>
      <c r="H2" s="278"/>
      <c r="I2" s="278"/>
      <c r="J2" s="278"/>
      <c r="K2" s="278"/>
      <c r="L2" s="269" t="s">
        <v>4</v>
      </c>
    </row>
    <row r="3" spans="1:12" ht="14.5" thickBot="1" x14ac:dyDescent="0.35">
      <c r="A3" s="269"/>
      <c r="B3" s="269"/>
      <c r="C3" s="269"/>
      <c r="D3" s="278"/>
      <c r="E3" s="278"/>
      <c r="F3" s="278"/>
      <c r="G3" s="278"/>
      <c r="H3" s="278"/>
      <c r="I3" s="278"/>
      <c r="J3" s="278"/>
      <c r="K3" s="278"/>
      <c r="L3" s="269"/>
    </row>
    <row r="4" spans="1:12" ht="14.5" thickBot="1" x14ac:dyDescent="0.35">
      <c r="A4" s="269"/>
      <c r="B4" s="269"/>
      <c r="C4" s="269"/>
      <c r="D4" s="269">
        <v>2022</v>
      </c>
      <c r="E4" s="270">
        <v>2023</v>
      </c>
      <c r="F4" s="270">
        <v>2024</v>
      </c>
      <c r="G4" s="270">
        <v>2023</v>
      </c>
      <c r="H4" s="270">
        <v>2024</v>
      </c>
      <c r="I4" s="270">
        <v>2025</v>
      </c>
      <c r="J4" s="269" t="s">
        <v>5</v>
      </c>
      <c r="K4" s="269" t="s">
        <v>6</v>
      </c>
      <c r="L4" s="269"/>
    </row>
    <row r="5" spans="1:12" ht="62.5" customHeight="1" thickBot="1" x14ac:dyDescent="0.35">
      <c r="A5" s="269"/>
      <c r="B5" s="269"/>
      <c r="C5" s="269"/>
      <c r="D5" s="269"/>
      <c r="E5" s="270"/>
      <c r="F5" s="270"/>
      <c r="G5" s="270"/>
      <c r="H5" s="270"/>
      <c r="I5" s="270"/>
      <c r="J5" s="269"/>
      <c r="K5" s="269"/>
      <c r="L5" s="269"/>
    </row>
    <row r="6" spans="1:12" ht="14.5" thickBot="1" x14ac:dyDescent="0.35">
      <c r="A6" s="261" t="s">
        <v>7</v>
      </c>
      <c r="B6" s="2"/>
      <c r="C6" s="2"/>
      <c r="D6" s="3">
        <f t="shared" ref="D6:I6" si="0">D8+D10+D12+D15+D19</f>
        <v>181122752</v>
      </c>
      <c r="E6" s="3">
        <f t="shared" si="0"/>
        <v>181122752</v>
      </c>
      <c r="F6" s="3">
        <f t="shared" si="0"/>
        <v>181122752</v>
      </c>
      <c r="G6" s="3">
        <f t="shared" si="0"/>
        <v>101060009</v>
      </c>
      <c r="H6" s="3">
        <f t="shared" si="0"/>
        <v>132974640</v>
      </c>
      <c r="I6" s="3">
        <f t="shared" si="0"/>
        <v>140993892</v>
      </c>
      <c r="J6" s="3"/>
      <c r="K6" s="3">
        <f>K8+K10+K12+K15+K19</f>
        <v>140993892</v>
      </c>
      <c r="L6" s="4"/>
    </row>
    <row r="7" spans="1:12" customFormat="1" ht="15" thickBot="1" x14ac:dyDescent="0.4">
      <c r="A7" s="274" t="s">
        <v>338</v>
      </c>
      <c r="B7" s="275" t="s">
        <v>341</v>
      </c>
      <c r="C7" s="275"/>
      <c r="D7" s="275"/>
      <c r="E7" s="275"/>
      <c r="F7" s="275"/>
      <c r="G7" s="275"/>
      <c r="H7" s="275"/>
      <c r="I7" s="275"/>
      <c r="J7" s="275"/>
      <c r="K7" s="275"/>
      <c r="L7" s="275"/>
    </row>
    <row r="8" spans="1:12" customFormat="1" ht="42" customHeight="1" thickBot="1" x14ac:dyDescent="0.4">
      <c r="A8" s="274"/>
      <c r="B8" s="271" t="s">
        <v>339</v>
      </c>
      <c r="C8" s="272"/>
      <c r="D8" s="272"/>
      <c r="E8" s="272"/>
      <c r="F8" s="272"/>
      <c r="G8" s="272"/>
      <c r="H8" s="272"/>
      <c r="I8" s="272"/>
      <c r="J8" s="272"/>
      <c r="K8" s="272"/>
      <c r="L8" s="273"/>
    </row>
    <row r="9" spans="1:12" customFormat="1" ht="15" thickBot="1" x14ac:dyDescent="0.4">
      <c r="A9" s="274"/>
      <c r="B9" s="276" t="s">
        <v>342</v>
      </c>
      <c r="C9" s="276"/>
      <c r="D9" s="276"/>
      <c r="E9" s="276"/>
      <c r="F9" s="276"/>
      <c r="G9" s="276"/>
      <c r="H9" s="276"/>
      <c r="I9" s="276"/>
      <c r="J9" s="276"/>
      <c r="K9" s="276"/>
      <c r="L9" s="276"/>
    </row>
    <row r="10" spans="1:12" customFormat="1" ht="15" thickBot="1" x14ac:dyDescent="0.4">
      <c r="A10" s="274"/>
      <c r="B10" s="5" t="s">
        <v>336</v>
      </c>
      <c r="C10" s="6"/>
      <c r="D10" s="12">
        <v>0</v>
      </c>
      <c r="E10" s="12">
        <v>0</v>
      </c>
      <c r="F10" s="12">
        <v>0</v>
      </c>
      <c r="G10" s="7">
        <v>0</v>
      </c>
      <c r="H10" s="7">
        <v>0</v>
      </c>
      <c r="I10" s="7">
        <v>0</v>
      </c>
      <c r="J10" s="7"/>
      <c r="K10" s="7">
        <v>0</v>
      </c>
      <c r="L10" s="8"/>
    </row>
    <row r="11" spans="1:12" customFormat="1" ht="15" thickBot="1" x14ac:dyDescent="0.4">
      <c r="A11" s="274"/>
      <c r="B11" s="276" t="s">
        <v>343</v>
      </c>
      <c r="C11" s="276"/>
      <c r="D11" s="276"/>
      <c r="E11" s="276"/>
      <c r="F11" s="276"/>
      <c r="G11" s="276"/>
      <c r="H11" s="276"/>
      <c r="I11" s="276"/>
      <c r="J11" s="276"/>
      <c r="K11" s="276"/>
      <c r="L11" s="276"/>
    </row>
    <row r="12" spans="1:12" customFormat="1" ht="15" thickBot="1" x14ac:dyDescent="0.4">
      <c r="A12" s="274"/>
      <c r="B12" s="5" t="s">
        <v>336</v>
      </c>
      <c r="C12" s="6"/>
      <c r="D12" s="265">
        <f>D13</f>
        <v>48271334</v>
      </c>
      <c r="E12" s="265">
        <f t="shared" ref="E12:F12" si="1">E13</f>
        <v>48271334</v>
      </c>
      <c r="F12" s="265">
        <f t="shared" si="1"/>
        <v>48271334</v>
      </c>
      <c r="G12" s="7">
        <f>G13</f>
        <v>1744285</v>
      </c>
      <c r="H12" s="7">
        <f>H13</f>
        <v>1744285</v>
      </c>
      <c r="I12" s="7">
        <f>I13</f>
        <v>1744285</v>
      </c>
      <c r="J12" s="7"/>
      <c r="K12" s="7">
        <f>K13</f>
        <v>1744285</v>
      </c>
      <c r="L12" s="8"/>
    </row>
    <row r="13" spans="1:12" customFormat="1" ht="26.5" thickBot="1" x14ac:dyDescent="0.4">
      <c r="A13" s="274"/>
      <c r="B13" s="13"/>
      <c r="C13" s="9" t="s">
        <v>8</v>
      </c>
      <c r="D13" s="14">
        <v>48271334</v>
      </c>
      <c r="E13" s="14">
        <v>48271334</v>
      </c>
      <c r="F13" s="14">
        <v>48271334</v>
      </c>
      <c r="G13" s="14">
        <v>1744285</v>
      </c>
      <c r="H13" s="14">
        <v>1744285</v>
      </c>
      <c r="I13" s="14">
        <v>1744285</v>
      </c>
      <c r="J13" s="14"/>
      <c r="K13" s="14">
        <v>1744285</v>
      </c>
      <c r="L13" s="15"/>
    </row>
    <row r="14" spans="1:12" customFormat="1" ht="15" thickBot="1" x14ac:dyDescent="0.4">
      <c r="A14" s="274"/>
      <c r="B14" s="276" t="s">
        <v>344</v>
      </c>
      <c r="C14" s="276"/>
      <c r="D14" s="276"/>
      <c r="E14" s="276"/>
      <c r="F14" s="276"/>
      <c r="G14" s="276"/>
      <c r="H14" s="276"/>
      <c r="I14" s="276"/>
      <c r="J14" s="276"/>
      <c r="K14" s="276"/>
      <c r="L14" s="276"/>
    </row>
    <row r="15" spans="1:12" customFormat="1" ht="15" thickBot="1" x14ac:dyDescent="0.4">
      <c r="A15" s="274"/>
      <c r="B15" s="5" t="s">
        <v>336</v>
      </c>
      <c r="C15" s="6"/>
      <c r="D15" s="266">
        <f t="shared" ref="D15:I15" si="2">D16+D17</f>
        <v>132851418</v>
      </c>
      <c r="E15" s="266">
        <f t="shared" si="2"/>
        <v>132851418</v>
      </c>
      <c r="F15" s="266">
        <f t="shared" si="2"/>
        <v>132851418</v>
      </c>
      <c r="G15" s="7">
        <f t="shared" si="2"/>
        <v>99315724</v>
      </c>
      <c r="H15" s="7">
        <f t="shared" si="2"/>
        <v>131230355</v>
      </c>
      <c r="I15" s="7">
        <f t="shared" si="2"/>
        <v>139249607</v>
      </c>
      <c r="J15" s="7"/>
      <c r="K15" s="7">
        <f>K16+K17</f>
        <v>139249607</v>
      </c>
      <c r="L15" s="8"/>
    </row>
    <row r="16" spans="1:12" customFormat="1" ht="26.5" thickBot="1" x14ac:dyDescent="0.4">
      <c r="A16" s="274"/>
      <c r="B16" s="277"/>
      <c r="C16" s="9" t="s">
        <v>8</v>
      </c>
      <c r="D16" s="264">
        <v>130227705</v>
      </c>
      <c r="E16" s="264">
        <v>130227705</v>
      </c>
      <c r="F16" s="264">
        <v>130227705</v>
      </c>
      <c r="G16" s="11">
        <v>98669707</v>
      </c>
      <c r="H16" s="11">
        <v>130704601</v>
      </c>
      <c r="I16" s="11">
        <v>138723853</v>
      </c>
      <c r="J16" s="10"/>
      <c r="K16" s="11">
        <f>I16</f>
        <v>138723853</v>
      </c>
      <c r="L16" s="10"/>
    </row>
    <row r="17" spans="1:12" customFormat="1" ht="26.5" thickBot="1" x14ac:dyDescent="0.4">
      <c r="A17" s="274"/>
      <c r="B17" s="277"/>
      <c r="C17" s="9" t="s">
        <v>9</v>
      </c>
      <c r="D17" s="11">
        <v>2623713</v>
      </c>
      <c r="E17" s="11">
        <v>2623713</v>
      </c>
      <c r="F17" s="11">
        <v>2623713</v>
      </c>
      <c r="G17" s="11">
        <v>646017</v>
      </c>
      <c r="H17" s="11">
        <v>525754</v>
      </c>
      <c r="I17" s="11">
        <v>525754</v>
      </c>
      <c r="J17" s="10"/>
      <c r="K17" s="11">
        <f>I17</f>
        <v>525754</v>
      </c>
      <c r="L17" s="10"/>
    </row>
    <row r="18" spans="1:12" customFormat="1" ht="15" thickBot="1" x14ac:dyDescent="0.4">
      <c r="A18" s="274"/>
      <c r="B18" s="276" t="s">
        <v>345</v>
      </c>
      <c r="C18" s="276"/>
      <c r="D18" s="276"/>
      <c r="E18" s="276"/>
      <c r="F18" s="276"/>
      <c r="G18" s="276"/>
      <c r="H18" s="276"/>
      <c r="I18" s="276"/>
      <c r="J18" s="276"/>
      <c r="K18" s="276"/>
      <c r="L18" s="276"/>
    </row>
    <row r="19" spans="1:12" customFormat="1" ht="14.5" x14ac:dyDescent="0.35">
      <c r="A19" s="274"/>
      <c r="B19" s="5" t="s">
        <v>336</v>
      </c>
      <c r="C19" s="6"/>
      <c r="D19" s="12">
        <v>0</v>
      </c>
      <c r="E19" s="12">
        <v>0</v>
      </c>
      <c r="F19" s="12">
        <v>0</v>
      </c>
      <c r="G19" s="7">
        <v>0</v>
      </c>
      <c r="H19" s="7">
        <v>0</v>
      </c>
      <c r="I19" s="7">
        <v>0</v>
      </c>
      <c r="J19" s="7"/>
      <c r="K19" s="7">
        <v>0</v>
      </c>
      <c r="L19" s="8"/>
    </row>
    <row r="20" spans="1:12" ht="14.5" x14ac:dyDescent="0.35">
      <c r="B20" s="262"/>
      <c r="C20"/>
    </row>
    <row r="22" spans="1:12" x14ac:dyDescent="0.3">
      <c r="D22" s="267"/>
    </row>
  </sheetData>
  <mergeCells count="22">
    <mergeCell ref="B8:L8"/>
    <mergeCell ref="L2:L5"/>
    <mergeCell ref="A7:A19"/>
    <mergeCell ref="B7:L7"/>
    <mergeCell ref="B9:L9"/>
    <mergeCell ref="B11:L11"/>
    <mergeCell ref="B14:L14"/>
    <mergeCell ref="B16:B17"/>
    <mergeCell ref="B18:L18"/>
    <mergeCell ref="A2:A5"/>
    <mergeCell ref="B2:B5"/>
    <mergeCell ref="C2:C5"/>
    <mergeCell ref="D2:F3"/>
    <mergeCell ref="G2:K3"/>
    <mergeCell ref="D4:D5"/>
    <mergeCell ref="J4:J5"/>
    <mergeCell ref="K4:K5"/>
    <mergeCell ref="E4:E5"/>
    <mergeCell ref="F4:F5"/>
    <mergeCell ref="G4:G5"/>
    <mergeCell ref="H4:H5"/>
    <mergeCell ref="I4:I5"/>
  </mergeCells>
  <pageMargins left="0.70000000000000007" right="0.70000000000000007" top="0.75" bottom="0.75" header="0.30000000000000004" footer="0.30000000000000004"/>
  <pageSetup fitToWidth="0" fitToHeight="0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"/>
  <sheetViews>
    <sheetView workbookViewId="0">
      <selection activeCell="C22" sqref="C22"/>
    </sheetView>
  </sheetViews>
  <sheetFormatPr defaultColWidth="8.7265625" defaultRowHeight="13" x14ac:dyDescent="0.3"/>
  <cols>
    <col min="1" max="1" width="21.1796875" style="16" customWidth="1"/>
    <col min="2" max="2" width="8.7265625" style="16" customWidth="1"/>
    <col min="3" max="3" width="14.7265625" style="16" customWidth="1"/>
    <col min="4" max="4" width="14.453125" style="16" customWidth="1"/>
    <col min="5" max="5" width="8.7265625" style="16" customWidth="1"/>
    <col min="6" max="6" width="20.54296875" style="16" customWidth="1"/>
    <col min="7" max="7" width="8.7265625" style="16" customWidth="1"/>
    <col min="8" max="8" width="14.26953125" style="16" customWidth="1"/>
    <col min="9" max="9" width="23.453125" style="16" customWidth="1"/>
    <col min="10" max="10" width="8.7265625" style="16" customWidth="1"/>
    <col min="11" max="16384" width="8.7265625" style="16"/>
  </cols>
  <sheetData>
    <row r="1" spans="1:9" x14ac:dyDescent="0.3">
      <c r="G1" s="279" t="s">
        <v>346</v>
      </c>
      <c r="H1" s="279"/>
      <c r="I1" s="279"/>
    </row>
    <row r="2" spans="1:9" ht="17.25" customHeight="1" x14ac:dyDescent="0.3">
      <c r="A2" s="280" t="s">
        <v>10</v>
      </c>
      <c r="B2" s="280"/>
      <c r="C2" s="280"/>
      <c r="D2" s="280"/>
      <c r="E2" s="280"/>
      <c r="F2" s="280"/>
      <c r="G2" s="280"/>
      <c r="H2" s="280"/>
      <c r="I2" s="280"/>
    </row>
    <row r="3" spans="1:9" ht="15" customHeight="1" x14ac:dyDescent="0.3">
      <c r="A3" s="281" t="s">
        <v>11</v>
      </c>
      <c r="B3" s="282" t="s">
        <v>12</v>
      </c>
      <c r="C3" s="283" t="s">
        <v>13</v>
      </c>
      <c r="D3" s="283"/>
      <c r="E3" s="283" t="s">
        <v>14</v>
      </c>
      <c r="F3" s="283"/>
      <c r="G3" s="283" t="s">
        <v>15</v>
      </c>
      <c r="H3" s="283"/>
      <c r="I3" s="284" t="s">
        <v>16</v>
      </c>
    </row>
    <row r="4" spans="1:9" ht="52" x14ac:dyDescent="0.3">
      <c r="A4" s="281"/>
      <c r="B4" s="282"/>
      <c r="C4" s="21" t="s">
        <v>17</v>
      </c>
      <c r="D4" s="19" t="s">
        <v>18</v>
      </c>
      <c r="E4" s="19" t="s">
        <v>12</v>
      </c>
      <c r="F4" s="19" t="s">
        <v>18</v>
      </c>
      <c r="G4" s="19" t="s">
        <v>12</v>
      </c>
      <c r="H4" s="22" t="s">
        <v>18</v>
      </c>
      <c r="I4" s="284"/>
    </row>
    <row r="5" spans="1:9" ht="39" x14ac:dyDescent="0.3">
      <c r="A5" s="23" t="s">
        <v>19</v>
      </c>
      <c r="B5" s="24">
        <v>15417</v>
      </c>
      <c r="C5" s="25">
        <f>D5/B5</f>
        <v>113.14036453265875</v>
      </c>
      <c r="D5" s="26">
        <v>1744285</v>
      </c>
      <c r="E5" s="25">
        <f>B5</f>
        <v>15417</v>
      </c>
      <c r="F5" s="26">
        <f>E5*C5</f>
        <v>1744285</v>
      </c>
      <c r="G5" s="25">
        <f>E5</f>
        <v>15417</v>
      </c>
      <c r="H5" s="27">
        <f>G5*C5</f>
        <v>1744285</v>
      </c>
      <c r="I5" s="28" t="s">
        <v>20</v>
      </c>
    </row>
  </sheetData>
  <mergeCells count="8">
    <mergeCell ref="G1:I1"/>
    <mergeCell ref="A2:I2"/>
    <mergeCell ref="A3:A4"/>
    <mergeCell ref="B3:B4"/>
    <mergeCell ref="C3:D3"/>
    <mergeCell ref="E3:F3"/>
    <mergeCell ref="G3:H3"/>
    <mergeCell ref="I3:I4"/>
  </mergeCells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3"/>
  <sheetViews>
    <sheetView tabSelected="1" workbookViewId="0">
      <selection activeCell="E15" sqref="E15:E16"/>
    </sheetView>
  </sheetViews>
  <sheetFormatPr defaultColWidth="8.7265625" defaultRowHeight="13" x14ac:dyDescent="0.3"/>
  <cols>
    <col min="1" max="1" width="57.7265625" style="16" customWidth="1"/>
    <col min="2" max="2" width="11.81640625" style="16" customWidth="1"/>
    <col min="3" max="3" width="11.26953125" style="16" customWidth="1"/>
    <col min="4" max="4" width="14" style="16" customWidth="1"/>
    <col min="5" max="5" width="27.54296875" style="16" customWidth="1"/>
    <col min="6" max="6" width="8.7265625" style="16" customWidth="1"/>
    <col min="7" max="16384" width="8.7265625" style="16"/>
  </cols>
  <sheetData>
    <row r="1" spans="1:8" ht="14.5" customHeight="1" x14ac:dyDescent="0.3">
      <c r="B1" s="279" t="s">
        <v>347</v>
      </c>
      <c r="C1" s="279"/>
      <c r="D1" s="279"/>
      <c r="E1" s="279"/>
    </row>
    <row r="2" spans="1:8" x14ac:dyDescent="0.3">
      <c r="A2" s="291" t="s">
        <v>21</v>
      </c>
      <c r="B2" s="291"/>
      <c r="C2" s="291"/>
      <c r="D2" s="291"/>
      <c r="E2" s="291"/>
      <c r="F2" s="291"/>
      <c r="G2" s="291"/>
      <c r="H2" s="291"/>
    </row>
    <row r="3" spans="1:8" ht="15" customHeight="1" x14ac:dyDescent="0.3">
      <c r="A3" s="292" t="s">
        <v>22</v>
      </c>
      <c r="B3" s="293" t="s">
        <v>23</v>
      </c>
      <c r="C3" s="293"/>
      <c r="D3" s="293"/>
      <c r="E3" s="284" t="s">
        <v>16</v>
      </c>
    </row>
    <row r="4" spans="1:8" ht="26" x14ac:dyDescent="0.3">
      <c r="A4" s="292"/>
      <c r="B4" s="20" t="s">
        <v>13</v>
      </c>
      <c r="C4" s="20" t="s">
        <v>14</v>
      </c>
      <c r="D4" s="20" t="s">
        <v>15</v>
      </c>
      <c r="E4" s="284"/>
    </row>
    <row r="5" spans="1:8" x14ac:dyDescent="0.3">
      <c r="A5" s="31" t="s">
        <v>24</v>
      </c>
      <c r="B5" s="32">
        <f>B6+B7</f>
        <v>99315724.449422985</v>
      </c>
      <c r="C5" s="32">
        <f>C6+C7</f>
        <v>131230354.566223</v>
      </c>
      <c r="D5" s="32">
        <f>D6+D7</f>
        <v>139249606.750083</v>
      </c>
      <c r="E5" s="33"/>
    </row>
    <row r="6" spans="1:8" x14ac:dyDescent="0.3">
      <c r="A6" s="34" t="s">
        <v>25</v>
      </c>
      <c r="B6" s="35">
        <f>B9+B11+B12+B13+B14+B15+B16+B17+B18</f>
        <v>98669707.449422985</v>
      </c>
      <c r="C6" s="35">
        <f>C9+C11+C12+C13+C14+C15+C16+C17+C18</f>
        <v>130704600.566223</v>
      </c>
      <c r="D6" s="35">
        <f>D9+D11+D12+D13+D14+D15+D16+D17+D18</f>
        <v>138723852.750083</v>
      </c>
      <c r="E6" s="36"/>
    </row>
    <row r="7" spans="1:8" x14ac:dyDescent="0.3">
      <c r="A7" s="34" t="s">
        <v>26</v>
      </c>
      <c r="B7" s="35">
        <f>B10</f>
        <v>646017</v>
      </c>
      <c r="C7" s="35">
        <f>C10</f>
        <v>525754</v>
      </c>
      <c r="D7" s="35">
        <f>D10</f>
        <v>525754</v>
      </c>
      <c r="E7" s="36"/>
    </row>
    <row r="8" spans="1:8" ht="26" x14ac:dyDescent="0.3">
      <c r="A8" s="37" t="s">
        <v>27</v>
      </c>
      <c r="B8" s="38">
        <f>B9+B10</f>
        <v>62916632.079999998</v>
      </c>
      <c r="C8" s="38">
        <f>C9+C10</f>
        <v>77408230.640000001</v>
      </c>
      <c r="D8" s="38">
        <f>D9+D10</f>
        <v>77551260.640000001</v>
      </c>
      <c r="E8" s="285" t="s">
        <v>28</v>
      </c>
    </row>
    <row r="9" spans="1:8" x14ac:dyDescent="0.3">
      <c r="A9" s="34" t="s">
        <v>25</v>
      </c>
      <c r="B9" s="39">
        <f>'4p_pielikums_Nr1'!D69</f>
        <v>62270615.079999998</v>
      </c>
      <c r="C9" s="39">
        <f>'4p_pielikums_Nr1'!E69</f>
        <v>76882476.640000001</v>
      </c>
      <c r="D9" s="39">
        <f>'4p_pielikums_Nr1'!F69</f>
        <v>77025506.640000001</v>
      </c>
      <c r="E9" s="285"/>
    </row>
    <row r="10" spans="1:8" x14ac:dyDescent="0.3">
      <c r="A10" s="34" t="s">
        <v>26</v>
      </c>
      <c r="B10" s="40">
        <f>'4p_pielikums_Nr1'!D68</f>
        <v>646017</v>
      </c>
      <c r="C10" s="40">
        <f>'4p_pielikums_Nr1'!E68</f>
        <v>525754</v>
      </c>
      <c r="D10" s="40">
        <f>'4p_pielikums_Nr1'!F68</f>
        <v>525754</v>
      </c>
      <c r="E10" s="286"/>
    </row>
    <row r="11" spans="1:8" ht="26" x14ac:dyDescent="0.3">
      <c r="A11" s="37" t="s">
        <v>29</v>
      </c>
      <c r="B11" s="263">
        <f>'4p_pielikums_Nr2'!E6</f>
        <v>6153300</v>
      </c>
      <c r="C11" s="263">
        <f>'4p_pielikums_Nr2'!H6</f>
        <v>11275590</v>
      </c>
      <c r="D11" s="268">
        <f>'4p_pielikums_Nr2'!K6</f>
        <v>12102128</v>
      </c>
      <c r="E11" s="288" t="s">
        <v>20</v>
      </c>
    </row>
    <row r="12" spans="1:8" ht="26" x14ac:dyDescent="0.3">
      <c r="A12" s="37" t="s">
        <v>30</v>
      </c>
      <c r="B12" s="263">
        <f>'4p_pielikums_Nr3'!D6</f>
        <v>2088851.4367229999</v>
      </c>
      <c r="C12" s="263">
        <f>'4p_pielikums_Nr3'!D6</f>
        <v>2088851.4367229999</v>
      </c>
      <c r="D12" s="268">
        <f>'4p_pielikums_Nr3'!D6</f>
        <v>2088851.4367229999</v>
      </c>
      <c r="E12" s="288"/>
    </row>
    <row r="13" spans="1:8" ht="26" x14ac:dyDescent="0.3">
      <c r="A13" s="37" t="s">
        <v>31</v>
      </c>
      <c r="B13" s="263">
        <f>'4p_pielikums_Nr4'!E12</f>
        <v>1220178.75</v>
      </c>
      <c r="C13" s="263">
        <f>'4p_pielikums_Nr4'!H12</f>
        <v>2712955</v>
      </c>
      <c r="D13" s="268">
        <f>'4p_pielikums_Nr4'!K12</f>
        <v>3108095</v>
      </c>
      <c r="E13" s="288"/>
    </row>
    <row r="14" spans="1:8" ht="26" x14ac:dyDescent="0.3">
      <c r="A14" s="37" t="s">
        <v>32</v>
      </c>
      <c r="B14" s="263">
        <f>'4p_pielikums_Nr5'!F4</f>
        <v>1118000</v>
      </c>
      <c r="C14" s="263">
        <f>'4p_pielikums_Nr5'!F4</f>
        <v>1118000</v>
      </c>
      <c r="D14" s="268">
        <f>'4p_pielikums_Nr5'!F4</f>
        <v>1118000</v>
      </c>
      <c r="E14" s="288"/>
    </row>
    <row r="15" spans="1:8" ht="26" x14ac:dyDescent="0.3">
      <c r="A15" s="37" t="s">
        <v>33</v>
      </c>
      <c r="B15" s="263">
        <f>'4p_pielikums_Nr6'!E5</f>
        <v>1763914.3152000001</v>
      </c>
      <c r="C15" s="263">
        <f>'4p_pielikums_Nr6'!G5</f>
        <v>5362437.5952000003</v>
      </c>
      <c r="D15" s="263">
        <f>'4p_pielikums_Nr6'!I5</f>
        <v>9032695.4352000002</v>
      </c>
      <c r="E15" s="289" t="s">
        <v>357</v>
      </c>
    </row>
    <row r="16" spans="1:8" ht="26" x14ac:dyDescent="0.3">
      <c r="A16" s="37" t="s">
        <v>34</v>
      </c>
      <c r="B16" s="263">
        <f>'4p_pielikums_Nr7'!D6</f>
        <v>11708666</v>
      </c>
      <c r="C16" s="263">
        <f>'4p_pielikums_Nr7'!D6</f>
        <v>11708666</v>
      </c>
      <c r="D16" s="263">
        <f>'4p_pielikums_Nr7'!D6</f>
        <v>11708666</v>
      </c>
      <c r="E16" s="290"/>
    </row>
    <row r="17" spans="1:5" ht="26" x14ac:dyDescent="0.3">
      <c r="A17" s="37" t="s">
        <v>35</v>
      </c>
      <c r="B17" s="263">
        <f>'4p_pielikums_Nr8'!E18</f>
        <v>3201580.2102999999</v>
      </c>
      <c r="C17" s="263">
        <f>'4p_pielikums_Nr8'!H18</f>
        <v>5265450.16</v>
      </c>
      <c r="D17" s="263">
        <f>'4p_pielikums_Nr8'!K18</f>
        <v>6199731.6000000006</v>
      </c>
      <c r="E17" s="286" t="s">
        <v>20</v>
      </c>
    </row>
    <row r="18" spans="1:5" x14ac:dyDescent="0.3">
      <c r="A18" s="37" t="s">
        <v>36</v>
      </c>
      <c r="B18" s="263">
        <f>'4p_pielikums_Nr9'!D9</f>
        <v>9144601.6572000012</v>
      </c>
      <c r="C18" s="263">
        <f>'4p_pielikums_Nr9'!G9</f>
        <v>14290173.734299999</v>
      </c>
      <c r="D18" s="263">
        <f>'4p_pielikums_Nr9'!J9</f>
        <v>16340178.638160001</v>
      </c>
      <c r="E18" s="287"/>
    </row>
    <row r="19" spans="1:5" x14ac:dyDescent="0.3">
      <c r="B19" s="120"/>
    </row>
    <row r="21" spans="1:5" x14ac:dyDescent="0.3">
      <c r="A21" s="120"/>
    </row>
    <row r="23" spans="1:5" x14ac:dyDescent="0.3">
      <c r="B23" s="120"/>
    </row>
  </sheetData>
  <mergeCells count="9">
    <mergeCell ref="E8:E10"/>
    <mergeCell ref="E17:E18"/>
    <mergeCell ref="E11:E14"/>
    <mergeCell ref="E15:E16"/>
    <mergeCell ref="B1:E1"/>
    <mergeCell ref="A2:H2"/>
    <mergeCell ref="A3:A4"/>
    <mergeCell ref="B3:D3"/>
    <mergeCell ref="E3:E4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70"/>
  <sheetViews>
    <sheetView topLeftCell="E1" workbookViewId="0">
      <selection activeCell="G1" sqref="G1:J1"/>
    </sheetView>
  </sheetViews>
  <sheetFormatPr defaultColWidth="8.7265625" defaultRowHeight="13" x14ac:dyDescent="0.3"/>
  <cols>
    <col min="1" max="1" width="51.54296875" style="16" customWidth="1"/>
    <col min="2" max="2" width="53" style="16" customWidth="1"/>
    <col min="3" max="3" width="36.54296875" style="16" customWidth="1"/>
    <col min="4" max="4" width="23.54296875" style="16" customWidth="1"/>
    <col min="5" max="5" width="29.26953125" style="16" customWidth="1"/>
    <col min="6" max="6" width="20.1796875" style="16" customWidth="1"/>
    <col min="7" max="7" width="33.54296875" style="16" customWidth="1"/>
    <col min="8" max="8" width="30.54296875" style="16" customWidth="1"/>
    <col min="9" max="9" width="19.54296875" style="16" customWidth="1"/>
    <col min="10" max="10" width="22.81640625" style="16" customWidth="1"/>
    <col min="11" max="11" width="14.453125" style="16" customWidth="1"/>
    <col min="12" max="12" width="15.1796875" style="16" customWidth="1"/>
    <col min="13" max="13" width="8.7265625" style="16" customWidth="1"/>
    <col min="14" max="16384" width="8.7265625" style="16"/>
  </cols>
  <sheetData>
    <row r="1" spans="1:10" ht="20.25" customHeight="1" x14ac:dyDescent="0.3">
      <c r="G1" s="294" t="s">
        <v>348</v>
      </c>
      <c r="H1" s="294"/>
      <c r="I1" s="294"/>
      <c r="J1" s="294"/>
    </row>
    <row r="2" spans="1:10" x14ac:dyDescent="0.3">
      <c r="A2" s="295" t="s">
        <v>37</v>
      </c>
      <c r="B2" s="295"/>
      <c r="C2" s="295"/>
      <c r="D2" s="295"/>
      <c r="E2" s="295"/>
      <c r="F2" s="295"/>
      <c r="G2" s="295"/>
      <c r="H2" s="295"/>
      <c r="I2" s="295"/>
    </row>
    <row r="3" spans="1:10" x14ac:dyDescent="0.3">
      <c r="A3" s="41"/>
      <c r="B3" s="41"/>
      <c r="C3" s="41"/>
      <c r="D3" s="41"/>
      <c r="E3" s="41"/>
      <c r="F3" s="41"/>
      <c r="G3" s="41"/>
      <c r="H3" s="41"/>
      <c r="I3" s="42"/>
    </row>
    <row r="4" spans="1:10" x14ac:dyDescent="0.3">
      <c r="A4" s="296" t="s">
        <v>38</v>
      </c>
      <c r="B4" s="297" t="s">
        <v>39</v>
      </c>
      <c r="C4" s="297" t="s">
        <v>40</v>
      </c>
      <c r="D4" s="297" t="s">
        <v>41</v>
      </c>
      <c r="E4" s="43"/>
      <c r="F4" s="43"/>
      <c r="G4" s="43"/>
      <c r="H4" s="43"/>
      <c r="I4" s="43"/>
    </row>
    <row r="5" spans="1:10" ht="6" customHeight="1" x14ac:dyDescent="0.3">
      <c r="A5" s="296"/>
      <c r="B5" s="297"/>
      <c r="C5" s="297"/>
      <c r="D5" s="297"/>
      <c r="E5" s="44"/>
      <c r="F5" s="43"/>
      <c r="G5" s="43"/>
      <c r="H5" s="45"/>
      <c r="I5" s="44"/>
    </row>
    <row r="6" spans="1:10" hidden="1" x14ac:dyDescent="0.3">
      <c r="A6" s="296"/>
      <c r="B6" s="297"/>
      <c r="C6" s="297"/>
      <c r="D6" s="297"/>
      <c r="E6" s="44"/>
      <c r="F6" s="46"/>
      <c r="G6" s="46"/>
      <c r="H6" s="45"/>
      <c r="I6" s="44"/>
    </row>
    <row r="7" spans="1:10" x14ac:dyDescent="0.3">
      <c r="A7" s="47">
        <v>1</v>
      </c>
      <c r="B7" s="48">
        <v>2</v>
      </c>
      <c r="C7" s="48">
        <v>3</v>
      </c>
      <c r="D7" s="48">
        <v>4</v>
      </c>
      <c r="E7" s="49"/>
      <c r="F7" s="46"/>
      <c r="G7" s="46"/>
      <c r="H7" s="46"/>
      <c r="I7" s="49"/>
    </row>
    <row r="8" spans="1:10" ht="27" customHeight="1" x14ac:dyDescent="0.35">
      <c r="A8" s="50" t="s">
        <v>42</v>
      </c>
      <c r="B8" s="51">
        <f>ROUND(51.5*1.12,2)</f>
        <v>57.68</v>
      </c>
      <c r="C8" s="52">
        <v>15090</v>
      </c>
      <c r="D8" s="52">
        <f>B8*C8</f>
        <v>870391.2</v>
      </c>
      <c r="E8" s="53"/>
      <c r="F8" s="53"/>
      <c r="G8" s="53"/>
      <c r="H8" s="54"/>
      <c r="I8" s="55"/>
    </row>
    <row r="9" spans="1:10" x14ac:dyDescent="0.3">
      <c r="A9" s="56"/>
      <c r="B9" s="56"/>
      <c r="C9" s="56"/>
      <c r="D9" s="56"/>
      <c r="E9" s="56"/>
      <c r="F9" s="57"/>
      <c r="G9" s="56"/>
      <c r="H9" s="58"/>
      <c r="I9" s="56"/>
    </row>
    <row r="10" spans="1:10" x14ac:dyDescent="0.3">
      <c r="A10" s="299" t="s">
        <v>43</v>
      </c>
      <c r="B10" s="299" t="s">
        <v>44</v>
      </c>
      <c r="C10" s="299" t="s">
        <v>45</v>
      </c>
      <c r="D10" s="299" t="s">
        <v>46</v>
      </c>
      <c r="E10" s="299"/>
      <c r="F10" s="299"/>
      <c r="G10" s="299" t="s">
        <v>47</v>
      </c>
      <c r="H10" s="299"/>
      <c r="I10" s="299"/>
    </row>
    <row r="11" spans="1:10" ht="39" x14ac:dyDescent="0.3">
      <c r="A11" s="299"/>
      <c r="B11" s="299"/>
      <c r="C11" s="299"/>
      <c r="D11" s="59" t="s">
        <v>48</v>
      </c>
      <c r="E11" s="59" t="s">
        <v>49</v>
      </c>
      <c r="F11" s="59" t="s">
        <v>50</v>
      </c>
      <c r="G11" s="59" t="s">
        <v>48</v>
      </c>
      <c r="H11" s="59" t="s">
        <v>49</v>
      </c>
      <c r="I11" s="59" t="s">
        <v>50</v>
      </c>
    </row>
    <row r="12" spans="1:10" ht="39" x14ac:dyDescent="0.3">
      <c r="A12" s="37" t="s">
        <v>51</v>
      </c>
      <c r="B12" s="37" t="s">
        <v>52</v>
      </c>
      <c r="C12" s="37" t="s">
        <v>53</v>
      </c>
      <c r="D12" s="60">
        <v>9951</v>
      </c>
      <c r="E12" s="60">
        <v>13935</v>
      </c>
      <c r="F12" s="60">
        <f>ROUNDUP(E12*B8,0)</f>
        <v>803771</v>
      </c>
      <c r="G12" s="60">
        <v>8929</v>
      </c>
      <c r="H12" s="60">
        <v>12505</v>
      </c>
      <c r="I12" s="60">
        <f>ROUNDUP(H12*B8,0)</f>
        <v>721289</v>
      </c>
    </row>
    <row r="13" spans="1:10" ht="26" x14ac:dyDescent="0.3">
      <c r="A13" s="37" t="s">
        <v>51</v>
      </c>
      <c r="B13" s="37" t="s">
        <v>54</v>
      </c>
      <c r="C13" s="37" t="s">
        <v>55</v>
      </c>
      <c r="D13" s="60">
        <v>10296</v>
      </c>
      <c r="E13" s="60">
        <v>12355</v>
      </c>
      <c r="F13" s="60">
        <f>ROUNDUP(E13*B8,0)</f>
        <v>712637</v>
      </c>
      <c r="G13" s="60">
        <v>9749</v>
      </c>
      <c r="H13" s="60">
        <v>11700</v>
      </c>
      <c r="I13" s="60">
        <f>ROUNDUP(H13*B8,0)</f>
        <v>674856</v>
      </c>
    </row>
    <row r="14" spans="1:10" x14ac:dyDescent="0.3">
      <c r="A14" s="61" t="s">
        <v>51</v>
      </c>
      <c r="B14" s="62" t="s">
        <v>56</v>
      </c>
      <c r="C14" s="63"/>
      <c r="D14" s="64">
        <f t="shared" ref="D14:I14" si="0">D12+D13</f>
        <v>20247</v>
      </c>
      <c r="E14" s="64">
        <f t="shared" si="0"/>
        <v>26290</v>
      </c>
      <c r="F14" s="64">
        <f t="shared" si="0"/>
        <v>1516408</v>
      </c>
      <c r="G14" s="64">
        <f t="shared" si="0"/>
        <v>18678</v>
      </c>
      <c r="H14" s="64">
        <f t="shared" si="0"/>
        <v>24205</v>
      </c>
      <c r="I14" s="64">
        <f t="shared" si="0"/>
        <v>1396145</v>
      </c>
    </row>
    <row r="15" spans="1:10" x14ac:dyDescent="0.3">
      <c r="A15" s="63" t="s">
        <v>57</v>
      </c>
      <c r="B15" s="65"/>
      <c r="C15" s="65"/>
      <c r="D15" s="64"/>
      <c r="E15" s="66">
        <v>15090</v>
      </c>
      <c r="F15" s="66">
        <f>870391</f>
        <v>870391</v>
      </c>
      <c r="G15" s="66"/>
      <c r="H15" s="66">
        <v>15090</v>
      </c>
      <c r="I15" s="66">
        <f>870391</f>
        <v>870391</v>
      </c>
    </row>
    <row r="16" spans="1:10" ht="26" x14ac:dyDescent="0.3">
      <c r="A16" s="67" t="s">
        <v>58</v>
      </c>
      <c r="B16" s="68"/>
      <c r="C16" s="68"/>
      <c r="D16" s="64"/>
      <c r="E16" s="64">
        <f>E14-E15</f>
        <v>11200</v>
      </c>
      <c r="F16" s="69">
        <f>F14-F15</f>
        <v>646017</v>
      </c>
      <c r="G16" s="64"/>
      <c r="H16" s="64">
        <f>H14-H15</f>
        <v>9115</v>
      </c>
      <c r="I16" s="69">
        <f>I14-I15</f>
        <v>525754</v>
      </c>
    </row>
    <row r="17" spans="1:13" x14ac:dyDescent="0.3">
      <c r="A17" s="300" t="s">
        <v>59</v>
      </c>
      <c r="B17" s="300"/>
      <c r="C17" s="300"/>
      <c r="D17" s="300"/>
      <c r="E17" s="300"/>
      <c r="F17" s="56"/>
      <c r="G17" s="56"/>
      <c r="H17" s="56"/>
      <c r="I17" s="56"/>
    </row>
    <row r="21" spans="1:13" ht="15.5" x14ac:dyDescent="0.35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298"/>
      <c r="L21" s="298"/>
      <c r="M21" s="70"/>
    </row>
    <row r="22" spans="1:13" ht="15.5" x14ac:dyDescent="0.35">
      <c r="A22" s="71" t="s">
        <v>60</v>
      </c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</row>
    <row r="23" spans="1:13" ht="15.5" x14ac:dyDescent="0.35">
      <c r="A23" s="71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</row>
    <row r="24" spans="1:13" ht="46.5" x14ac:dyDescent="0.35">
      <c r="A24" s="72" t="s">
        <v>61</v>
      </c>
      <c r="B24" s="73" t="s">
        <v>62</v>
      </c>
      <c r="C24" s="73" t="s">
        <v>63</v>
      </c>
      <c r="D24" s="73" t="s">
        <v>64</v>
      </c>
      <c r="E24" s="73" t="s">
        <v>65</v>
      </c>
      <c r="F24" s="73" t="s">
        <v>66</v>
      </c>
      <c r="G24" s="73" t="s">
        <v>67</v>
      </c>
      <c r="H24" s="70"/>
      <c r="I24" s="70"/>
      <c r="J24" s="70"/>
      <c r="K24" s="70"/>
      <c r="L24" s="70"/>
      <c r="M24" s="301" t="s">
        <v>68</v>
      </c>
    </row>
    <row r="25" spans="1:13" ht="15.5" x14ac:dyDescent="0.35">
      <c r="A25" s="74" t="s">
        <v>69</v>
      </c>
      <c r="B25" s="75">
        <v>1255</v>
      </c>
      <c r="C25" s="75">
        <v>49635545.039999999</v>
      </c>
      <c r="D25" s="75">
        <v>2028</v>
      </c>
      <c r="E25" s="75">
        <v>71720375.079999998</v>
      </c>
      <c r="F25" s="75">
        <v>2514</v>
      </c>
      <c r="G25" s="75">
        <v>86089236.640000001</v>
      </c>
      <c r="H25" s="70"/>
      <c r="I25" s="70"/>
      <c r="J25" s="70"/>
      <c r="K25" s="70"/>
      <c r="L25" s="70"/>
      <c r="M25" s="301"/>
    </row>
    <row r="26" spans="1:13" ht="15.5" x14ac:dyDescent="0.35">
      <c r="A26" s="76" t="s">
        <v>70</v>
      </c>
      <c r="B26" s="77">
        <v>336</v>
      </c>
      <c r="C26" s="77">
        <v>14395345.4</v>
      </c>
      <c r="D26" s="77">
        <v>457</v>
      </c>
      <c r="E26" s="78">
        <v>20407907.800000001</v>
      </c>
      <c r="F26" s="78">
        <v>527</v>
      </c>
      <c r="G26" s="78">
        <v>23996483.199999999</v>
      </c>
      <c r="H26" s="70"/>
      <c r="I26" s="70"/>
      <c r="J26" s="70"/>
      <c r="K26" s="70"/>
      <c r="L26" s="70"/>
      <c r="M26" s="301"/>
    </row>
    <row r="27" spans="1:13" ht="21.75" customHeight="1" x14ac:dyDescent="0.35">
      <c r="A27" s="79"/>
      <c r="B27" s="79"/>
      <c r="C27" s="80" t="s">
        <v>71</v>
      </c>
      <c r="D27" s="81"/>
      <c r="E27" s="80" t="s">
        <v>13</v>
      </c>
      <c r="F27" s="81"/>
      <c r="G27" s="82" t="s">
        <v>72</v>
      </c>
      <c r="H27" s="70"/>
      <c r="I27" s="70"/>
      <c r="J27" s="70"/>
      <c r="K27" s="70"/>
      <c r="L27" s="70"/>
      <c r="M27" s="301"/>
    </row>
    <row r="28" spans="1:13" ht="15.5" x14ac:dyDescent="0.35">
      <c r="A28" s="71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</row>
    <row r="29" spans="1:13" ht="15.5" x14ac:dyDescent="0.35">
      <c r="A29" s="71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</row>
    <row r="30" spans="1:13" ht="15.5" x14ac:dyDescent="0.35">
      <c r="A30" s="71" t="s">
        <v>73</v>
      </c>
      <c r="B30" s="71"/>
      <c r="C30" s="71"/>
      <c r="D30" s="71"/>
      <c r="E30" s="71"/>
      <c r="F30" s="71"/>
      <c r="G30" s="71"/>
      <c r="H30" s="71"/>
      <c r="I30" s="70"/>
      <c r="J30" s="70"/>
      <c r="K30" s="70"/>
      <c r="L30" s="83"/>
      <c r="M30" s="70"/>
    </row>
    <row r="31" spans="1:13" ht="85.5" customHeight="1" x14ac:dyDescent="0.3">
      <c r="A31" s="84" t="s">
        <v>61</v>
      </c>
      <c r="B31" s="84" t="s">
        <v>74</v>
      </c>
      <c r="C31" s="84" t="s">
        <v>75</v>
      </c>
      <c r="D31" s="84" t="s">
        <v>76</v>
      </c>
      <c r="E31" s="84" t="s">
        <v>77</v>
      </c>
      <c r="F31" s="84" t="s">
        <v>78</v>
      </c>
      <c r="G31" s="73" t="s">
        <v>79</v>
      </c>
      <c r="H31" s="84" t="s">
        <v>80</v>
      </c>
      <c r="I31" s="73" t="s">
        <v>81</v>
      </c>
      <c r="J31" s="84" t="s">
        <v>82</v>
      </c>
      <c r="K31" s="73" t="s">
        <v>83</v>
      </c>
      <c r="L31" s="85" t="s">
        <v>84</v>
      </c>
      <c r="M31" s="301" t="s">
        <v>85</v>
      </c>
    </row>
    <row r="32" spans="1:13" ht="15.5" x14ac:dyDescent="0.3">
      <c r="A32" s="86" t="s">
        <v>86</v>
      </c>
      <c r="B32" s="87">
        <v>1373</v>
      </c>
      <c r="C32" s="87">
        <f>D32/B32</f>
        <v>13078.212672978878</v>
      </c>
      <c r="D32" s="88">
        <v>17956386</v>
      </c>
      <c r="E32" s="87">
        <f>6600000+1600000+1146511</f>
        <v>9346511</v>
      </c>
      <c r="F32" s="88">
        <f>ROUND(E32/C32,0)</f>
        <v>715</v>
      </c>
      <c r="G32" s="89">
        <f>D32-E32</f>
        <v>8609875</v>
      </c>
      <c r="H32" s="87">
        <f>1025+300</f>
        <v>1325</v>
      </c>
      <c r="I32" s="89">
        <f>G32</f>
        <v>8609875</v>
      </c>
      <c r="J32" s="87">
        <f>1025+300</f>
        <v>1325</v>
      </c>
      <c r="K32" s="90">
        <f>G32</f>
        <v>8609875</v>
      </c>
      <c r="L32" s="91">
        <f>1025+300</f>
        <v>1325</v>
      </c>
      <c r="M32" s="301"/>
    </row>
    <row r="33" spans="1:13" ht="15.5" x14ac:dyDescent="0.35">
      <c r="A33" s="70"/>
      <c r="B33" s="70"/>
      <c r="C33" s="70"/>
      <c r="D33" s="92"/>
      <c r="E33" s="92"/>
      <c r="F33" s="92"/>
      <c r="G33" s="70"/>
      <c r="H33" s="70"/>
      <c r="I33" s="70"/>
      <c r="J33" s="70"/>
      <c r="K33" s="70"/>
      <c r="L33" s="70"/>
      <c r="M33" s="301"/>
    </row>
    <row r="34" spans="1:13" ht="15.5" x14ac:dyDescent="0.35">
      <c r="A34" s="93" t="s">
        <v>87</v>
      </c>
      <c r="B34" s="70"/>
      <c r="C34" s="70"/>
      <c r="D34" s="92"/>
      <c r="E34" s="92"/>
      <c r="F34" s="92"/>
      <c r="G34" s="70"/>
      <c r="H34" s="70"/>
      <c r="I34" s="70"/>
      <c r="J34" s="70"/>
      <c r="K34" s="70"/>
      <c r="L34" s="70"/>
      <c r="M34" s="301"/>
    </row>
    <row r="35" spans="1:13" ht="15.5" x14ac:dyDescent="0.35">
      <c r="A35" s="70"/>
      <c r="B35" s="70"/>
      <c r="C35" s="70"/>
      <c r="D35" s="92"/>
      <c r="E35" s="92"/>
      <c r="F35" s="92"/>
      <c r="G35" s="70"/>
      <c r="H35" s="70"/>
      <c r="I35" s="70"/>
      <c r="J35" s="70"/>
      <c r="K35" s="70"/>
      <c r="L35" s="70"/>
      <c r="M35" s="301"/>
    </row>
    <row r="36" spans="1:13" ht="15.5" x14ac:dyDescent="0.35">
      <c r="A36" s="71" t="s">
        <v>88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301"/>
    </row>
    <row r="37" spans="1:13" ht="62" x14ac:dyDescent="0.35">
      <c r="A37" s="84" t="s">
        <v>61</v>
      </c>
      <c r="B37" s="73" t="s">
        <v>89</v>
      </c>
      <c r="C37" s="73" t="s">
        <v>90</v>
      </c>
      <c r="D37" s="73" t="s">
        <v>91</v>
      </c>
      <c r="E37" s="73" t="s">
        <v>66</v>
      </c>
      <c r="F37" s="73" t="s">
        <v>92</v>
      </c>
      <c r="G37" s="73" t="s">
        <v>67</v>
      </c>
      <c r="H37" s="70"/>
      <c r="I37" s="70"/>
      <c r="J37" s="94"/>
      <c r="K37" s="70"/>
      <c r="L37" s="70"/>
      <c r="M37" s="301"/>
    </row>
    <row r="38" spans="1:13" ht="15.5" x14ac:dyDescent="0.35">
      <c r="A38" s="95" t="s">
        <v>93</v>
      </c>
      <c r="B38" s="96">
        <v>381</v>
      </c>
      <c r="C38" s="97">
        <v>30358.931</v>
      </c>
      <c r="D38" s="98">
        <f>ROUND(B38*C38,0)</f>
        <v>11566753</v>
      </c>
      <c r="E38" s="96">
        <v>381</v>
      </c>
      <c r="F38" s="97">
        <v>30096.464</v>
      </c>
      <c r="G38" s="98">
        <f>ROUND(E38*F38,0)</f>
        <v>11466753</v>
      </c>
      <c r="H38" s="70"/>
      <c r="I38" s="70"/>
      <c r="J38" s="70"/>
      <c r="K38" s="70"/>
      <c r="L38" s="70"/>
      <c r="M38" s="301"/>
    </row>
    <row r="39" spans="1:13" ht="15.5" x14ac:dyDescent="0.35">
      <c r="A39" s="70"/>
      <c r="B39" s="70"/>
      <c r="C39" s="70"/>
      <c r="D39" s="99" t="s">
        <v>94</v>
      </c>
      <c r="E39" s="100"/>
      <c r="F39" s="100"/>
      <c r="G39" s="99" t="s">
        <v>14</v>
      </c>
      <c r="H39" s="70"/>
      <c r="I39" s="70"/>
      <c r="J39" s="70"/>
      <c r="K39" s="70"/>
      <c r="L39" s="70"/>
      <c r="M39" s="301"/>
    </row>
    <row r="40" spans="1:13" ht="15.5" x14ac:dyDescent="0.35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301"/>
    </row>
    <row r="41" spans="1:13" ht="15.5" x14ac:dyDescent="0.35">
      <c r="A41" s="101"/>
      <c r="B41" s="101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301"/>
    </row>
    <row r="42" spans="1:13" ht="60" x14ac:dyDescent="0.35">
      <c r="A42" s="101"/>
      <c r="B42" s="101"/>
      <c r="C42" s="70"/>
      <c r="D42" s="102"/>
      <c r="E42" s="103" t="s">
        <v>95</v>
      </c>
      <c r="F42" s="103" t="s">
        <v>96</v>
      </c>
      <c r="G42" s="103" t="s">
        <v>97</v>
      </c>
      <c r="H42" s="70"/>
      <c r="I42" s="70"/>
      <c r="J42" s="70"/>
      <c r="K42" s="70"/>
      <c r="L42" s="70"/>
      <c r="M42" s="301"/>
    </row>
    <row r="43" spans="1:13" ht="15.5" x14ac:dyDescent="0.35">
      <c r="A43" s="70"/>
      <c r="B43" s="70"/>
      <c r="C43" s="70"/>
      <c r="D43" s="70"/>
      <c r="E43" s="104">
        <f>G32+D38</f>
        <v>20176628</v>
      </c>
      <c r="F43" s="104">
        <f>I32+D38</f>
        <v>20176628</v>
      </c>
      <c r="G43" s="104">
        <f>K32+G38</f>
        <v>20076628</v>
      </c>
      <c r="H43" s="70"/>
      <c r="I43" s="70"/>
      <c r="J43" s="70"/>
      <c r="K43" s="70"/>
      <c r="L43" s="70"/>
      <c r="M43" s="70"/>
    </row>
    <row r="44" spans="1:13" ht="15.5" x14ac:dyDescent="0.35">
      <c r="A44" s="302" t="s">
        <v>98</v>
      </c>
      <c r="B44" s="302"/>
      <c r="C44" s="302"/>
      <c r="D44" s="302"/>
      <c r="E44" s="302"/>
      <c r="F44" s="302"/>
      <c r="G44" s="302"/>
      <c r="H44" s="302"/>
      <c r="I44" s="302"/>
      <c r="J44" s="70"/>
      <c r="K44" s="70"/>
      <c r="L44" s="70"/>
      <c r="M44" s="70"/>
    </row>
    <row r="45" spans="1:13" ht="15.5" x14ac:dyDescent="0.35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</row>
    <row r="46" spans="1:13" ht="60" x14ac:dyDescent="0.35">
      <c r="A46" s="70"/>
      <c r="B46" s="70"/>
      <c r="C46" s="70"/>
      <c r="D46" s="70"/>
      <c r="E46" s="70"/>
      <c r="F46" s="105" t="s">
        <v>96</v>
      </c>
      <c r="G46" s="105" t="s">
        <v>97</v>
      </c>
      <c r="H46" s="70"/>
      <c r="I46" s="70"/>
      <c r="J46" s="70"/>
      <c r="K46" s="70"/>
      <c r="L46" s="70"/>
      <c r="M46" s="70"/>
    </row>
    <row r="47" spans="1:13" ht="15.5" x14ac:dyDescent="0.35">
      <c r="A47" s="70"/>
      <c r="B47" s="70"/>
      <c r="C47" s="70"/>
      <c r="D47" s="70"/>
      <c r="E47" s="70"/>
      <c r="F47" s="106">
        <f>E25-F43</f>
        <v>51543747.079999998</v>
      </c>
      <c r="G47" s="106">
        <f>G25-G43</f>
        <v>66012608.640000001</v>
      </c>
      <c r="H47" s="70"/>
      <c r="I47" s="70"/>
      <c r="J47" s="70"/>
      <c r="K47" s="70"/>
      <c r="L47" s="70"/>
      <c r="M47" s="70"/>
    </row>
    <row r="48" spans="1:13" ht="15.5" x14ac:dyDescent="0.35">
      <c r="A48" s="303" t="s">
        <v>99</v>
      </c>
      <c r="B48" s="303"/>
      <c r="C48" s="303"/>
      <c r="D48" s="303"/>
      <c r="E48" s="303"/>
      <c r="F48" s="303"/>
      <c r="G48" s="303"/>
      <c r="H48" s="303"/>
      <c r="I48" s="303"/>
      <c r="J48" s="303"/>
      <c r="K48" s="70"/>
      <c r="L48" s="70"/>
      <c r="M48" s="70"/>
    </row>
    <row r="49" spans="1:7" x14ac:dyDescent="0.3">
      <c r="F49" s="107"/>
    </row>
    <row r="51" spans="1:7" ht="14.5" x14ac:dyDescent="0.35">
      <c r="A51" s="108"/>
      <c r="B51" s="108"/>
      <c r="C51" s="108"/>
      <c r="D51" s="108"/>
      <c r="E51" s="108"/>
      <c r="F51" s="298"/>
      <c r="G51" s="298"/>
    </row>
    <row r="52" spans="1:7" x14ac:dyDescent="0.3">
      <c r="A52" s="109" t="s">
        <v>100</v>
      </c>
      <c r="B52" s="108"/>
      <c r="C52" s="108"/>
      <c r="D52" s="110"/>
      <c r="E52" s="110"/>
      <c r="F52" s="110"/>
      <c r="G52" s="111"/>
    </row>
    <row r="53" spans="1:7" ht="26" x14ac:dyDescent="0.3">
      <c r="A53" s="112" t="s">
        <v>61</v>
      </c>
      <c r="B53" s="113" t="s">
        <v>62</v>
      </c>
      <c r="C53" s="113" t="s">
        <v>101</v>
      </c>
      <c r="D53" s="113" t="s">
        <v>64</v>
      </c>
      <c r="E53" s="113" t="s">
        <v>102</v>
      </c>
      <c r="F53" s="113" t="s">
        <v>66</v>
      </c>
      <c r="G53" s="113" t="s">
        <v>103</v>
      </c>
    </row>
    <row r="54" spans="1:7" x14ac:dyDescent="0.3">
      <c r="A54" s="114" t="s">
        <v>104</v>
      </c>
      <c r="B54" s="115">
        <v>4977.7777777777774</v>
      </c>
      <c r="C54" s="115">
        <v>2116993</v>
      </c>
      <c r="D54" s="115">
        <v>5016</v>
      </c>
      <c r="E54" s="115">
        <v>2259993</v>
      </c>
      <c r="F54" s="115">
        <v>5053.6111111111113</v>
      </c>
      <c r="G54" s="115">
        <v>2403023</v>
      </c>
    </row>
    <row r="55" spans="1:7" x14ac:dyDescent="0.3">
      <c r="A55" s="108"/>
      <c r="B55" s="108"/>
      <c r="C55" s="116" t="s">
        <v>13</v>
      </c>
      <c r="D55" s="117"/>
      <c r="E55" s="116" t="s">
        <v>14</v>
      </c>
      <c r="F55" s="117"/>
      <c r="G55" s="118" t="s">
        <v>15</v>
      </c>
    </row>
    <row r="56" spans="1:7" x14ac:dyDescent="0.3">
      <c r="A56" s="108"/>
      <c r="B56" s="108"/>
      <c r="C56" s="108"/>
      <c r="D56" s="108"/>
      <c r="E56" s="108"/>
      <c r="F56" s="108"/>
      <c r="G56" s="108"/>
    </row>
    <row r="57" spans="1:7" x14ac:dyDescent="0.3">
      <c r="A57" s="304" t="s">
        <v>99</v>
      </c>
      <c r="B57" s="304"/>
      <c r="C57" s="304"/>
      <c r="D57" s="304"/>
      <c r="E57" s="304"/>
      <c r="F57" s="304"/>
      <c r="G57" s="304"/>
    </row>
    <row r="58" spans="1:7" x14ac:dyDescent="0.3">
      <c r="A58" s="108"/>
      <c r="B58" s="108"/>
      <c r="C58" s="108"/>
      <c r="D58" s="108"/>
      <c r="E58" s="108"/>
      <c r="F58" s="108"/>
      <c r="G58" s="108"/>
    </row>
    <row r="60" spans="1:7" ht="14.5" x14ac:dyDescent="0.35">
      <c r="A60" s="108"/>
      <c r="B60" s="108"/>
      <c r="C60" s="108"/>
      <c r="D60" s="108"/>
      <c r="E60" s="298"/>
      <c r="F60" s="298"/>
    </row>
    <row r="61" spans="1:7" x14ac:dyDescent="0.3">
      <c r="A61" s="305" t="s">
        <v>105</v>
      </c>
      <c r="B61" s="305"/>
      <c r="C61" s="305"/>
      <c r="D61" s="305"/>
      <c r="E61" s="305"/>
      <c r="F61" s="305"/>
    </row>
    <row r="62" spans="1:7" ht="39" x14ac:dyDescent="0.3">
      <c r="A62" s="112" t="s">
        <v>61</v>
      </c>
      <c r="B62" s="112" t="s">
        <v>74</v>
      </c>
      <c r="C62" s="112" t="s">
        <v>75</v>
      </c>
      <c r="D62" s="112" t="s">
        <v>106</v>
      </c>
      <c r="E62" s="112" t="s">
        <v>77</v>
      </c>
      <c r="F62" s="113" t="s">
        <v>107</v>
      </c>
    </row>
    <row r="63" spans="1:7" x14ac:dyDescent="0.3">
      <c r="A63" s="119" t="s">
        <v>86</v>
      </c>
      <c r="B63" s="60">
        <v>1373</v>
      </c>
      <c r="C63" s="60">
        <v>13078.212672978878</v>
      </c>
      <c r="D63" s="60">
        <f>B63*C63</f>
        <v>17956386</v>
      </c>
      <c r="E63" s="60">
        <v>9346511</v>
      </c>
      <c r="F63" s="69">
        <f>D63-E63</f>
        <v>8609875</v>
      </c>
    </row>
    <row r="64" spans="1:7" x14ac:dyDescent="0.3">
      <c r="F64" s="120"/>
    </row>
    <row r="65" spans="1:11" x14ac:dyDescent="0.3">
      <c r="A65" s="304" t="s">
        <v>99</v>
      </c>
      <c r="B65" s="304"/>
      <c r="C65" s="304"/>
      <c r="D65" s="304"/>
      <c r="E65" s="304"/>
      <c r="F65" s="304"/>
    </row>
    <row r="67" spans="1:11" ht="58.5" customHeight="1" x14ac:dyDescent="0.3">
      <c r="D67" s="121" t="s">
        <v>108</v>
      </c>
      <c r="E67" s="121" t="s">
        <v>109</v>
      </c>
      <c r="F67" s="121" t="s">
        <v>110</v>
      </c>
      <c r="G67" s="20" t="s">
        <v>111</v>
      </c>
    </row>
    <row r="68" spans="1:11" ht="26" x14ac:dyDescent="0.3">
      <c r="D68" s="122">
        <f>F16</f>
        <v>646017</v>
      </c>
      <c r="E68" s="122">
        <f>I16</f>
        <v>525754</v>
      </c>
      <c r="F68" s="122">
        <f>I16</f>
        <v>525754</v>
      </c>
      <c r="G68" s="37" t="s">
        <v>112</v>
      </c>
    </row>
    <row r="69" spans="1:11" ht="31.5" customHeight="1" x14ac:dyDescent="0.35">
      <c r="D69" s="123">
        <f>F47+C54+F63</f>
        <v>62270615.079999998</v>
      </c>
      <c r="E69" s="123">
        <f>G47+E54+F63</f>
        <v>76882476.640000001</v>
      </c>
      <c r="F69" s="123">
        <f>G47+G54+F63</f>
        <v>77025506.640000001</v>
      </c>
      <c r="G69" s="37" t="s">
        <v>8</v>
      </c>
      <c r="H69" s="306"/>
      <c r="I69" s="306"/>
      <c r="J69" s="306"/>
      <c r="K69" s="306"/>
    </row>
    <row r="70" spans="1:11" x14ac:dyDescent="0.3">
      <c r="C70" s="17" t="s">
        <v>24</v>
      </c>
      <c r="D70" s="124">
        <f>D68+D69</f>
        <v>62916632.079999998</v>
      </c>
      <c r="E70" s="124">
        <f>E68+E69</f>
        <v>77408230.640000001</v>
      </c>
      <c r="F70" s="124">
        <f>F68+F69</f>
        <v>77551260.640000001</v>
      </c>
      <c r="G70" s="36"/>
    </row>
  </sheetData>
  <mergeCells count="23">
    <mergeCell ref="A57:G57"/>
    <mergeCell ref="E60:F60"/>
    <mergeCell ref="A61:F61"/>
    <mergeCell ref="A65:F65"/>
    <mergeCell ref="H69:K69"/>
    <mergeCell ref="K21:L21"/>
    <mergeCell ref="M24:M27"/>
    <mergeCell ref="M31:M42"/>
    <mergeCell ref="A44:I44"/>
    <mergeCell ref="A48:J48"/>
    <mergeCell ref="F51:G51"/>
    <mergeCell ref="A10:A11"/>
    <mergeCell ref="B10:B11"/>
    <mergeCell ref="C10:C11"/>
    <mergeCell ref="D10:F10"/>
    <mergeCell ref="G10:I10"/>
    <mergeCell ref="A17:E17"/>
    <mergeCell ref="G1:J1"/>
    <mergeCell ref="A2:I2"/>
    <mergeCell ref="A4:A6"/>
    <mergeCell ref="B4:B6"/>
    <mergeCell ref="C4:C6"/>
    <mergeCell ref="D4:D6"/>
  </mergeCells>
  <pageMargins left="0.70000000000000007" right="0.70000000000000007" top="0.75" bottom="0.75" header="0.30000000000000004" footer="0.30000000000000004"/>
  <pageSetup fitToWidth="0" fitToHeight="0" orientation="portrait" horizontalDpi="90" verticalDpi="9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7"/>
  <sheetViews>
    <sheetView workbookViewId="0">
      <selection activeCell="H1" sqref="H1:K1"/>
    </sheetView>
  </sheetViews>
  <sheetFormatPr defaultColWidth="8.7265625" defaultRowHeight="13" x14ac:dyDescent="0.3"/>
  <cols>
    <col min="1" max="1" width="8.7265625" style="108" customWidth="1"/>
    <col min="2" max="2" width="41" style="108" customWidth="1"/>
    <col min="3" max="4" width="8.7265625" style="108" customWidth="1"/>
    <col min="5" max="5" width="24.26953125" style="108" customWidth="1"/>
    <col min="6" max="7" width="8.7265625" style="108" customWidth="1"/>
    <col min="8" max="8" width="13.1796875" style="108" customWidth="1"/>
    <col min="9" max="10" width="8.7265625" style="108" customWidth="1"/>
    <col min="11" max="11" width="23.81640625" style="108" customWidth="1"/>
    <col min="12" max="12" width="8.7265625" style="108" customWidth="1"/>
    <col min="13" max="16384" width="8.7265625" style="108"/>
  </cols>
  <sheetData>
    <row r="1" spans="1:11" ht="47.25" customHeight="1" x14ac:dyDescent="0.3">
      <c r="H1" s="304" t="s">
        <v>349</v>
      </c>
      <c r="I1" s="304"/>
      <c r="J1" s="304"/>
      <c r="K1" s="304"/>
    </row>
    <row r="2" spans="1:11" x14ac:dyDescent="0.3">
      <c r="A2" s="291" t="s">
        <v>113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</row>
    <row r="3" spans="1:11" x14ac:dyDescent="0.3">
      <c r="A3" s="125"/>
      <c r="B3" s="126"/>
      <c r="C3" s="308" t="s">
        <v>46</v>
      </c>
      <c r="D3" s="308"/>
      <c r="E3" s="308"/>
      <c r="F3" s="308" t="s">
        <v>114</v>
      </c>
      <c r="G3" s="308"/>
      <c r="H3" s="308"/>
      <c r="I3" s="308" t="s">
        <v>115</v>
      </c>
      <c r="J3" s="308"/>
      <c r="K3" s="308"/>
    </row>
    <row r="4" spans="1:11" ht="65" x14ac:dyDescent="0.3">
      <c r="A4" s="127" t="s">
        <v>116</v>
      </c>
      <c r="B4" s="18" t="s">
        <v>117</v>
      </c>
      <c r="C4" s="19" t="s">
        <v>118</v>
      </c>
      <c r="D4" s="19" t="s">
        <v>119</v>
      </c>
      <c r="E4" s="19" t="s">
        <v>18</v>
      </c>
      <c r="F4" s="19" t="s">
        <v>118</v>
      </c>
      <c r="G4" s="19" t="s">
        <v>120</v>
      </c>
      <c r="H4" s="19" t="s">
        <v>18</v>
      </c>
      <c r="I4" s="19" t="s">
        <v>118</v>
      </c>
      <c r="J4" s="19" t="s">
        <v>121</v>
      </c>
      <c r="K4" s="19" t="s">
        <v>18</v>
      </c>
    </row>
    <row r="5" spans="1:11" ht="39" x14ac:dyDescent="0.3">
      <c r="A5" s="128">
        <v>1</v>
      </c>
      <c r="B5" s="129" t="s">
        <v>122</v>
      </c>
      <c r="C5" s="130">
        <v>75</v>
      </c>
      <c r="D5" s="66">
        <v>82044</v>
      </c>
      <c r="E5" s="131">
        <f>C5*D5</f>
        <v>6153300</v>
      </c>
      <c r="F5" s="130">
        <v>102</v>
      </c>
      <c r="G5" s="132">
        <v>110545</v>
      </c>
      <c r="H5" s="131">
        <f>F5*G5</f>
        <v>11275590</v>
      </c>
      <c r="I5" s="130">
        <v>107</v>
      </c>
      <c r="J5" s="132">
        <v>113104</v>
      </c>
      <c r="K5" s="131">
        <f>I5*J5</f>
        <v>12102128</v>
      </c>
    </row>
    <row r="6" spans="1:11" x14ac:dyDescent="0.3">
      <c r="A6" s="309" t="s">
        <v>123</v>
      </c>
      <c r="B6" s="309"/>
      <c r="C6" s="133">
        <f>SUM(C5:C5)</f>
        <v>75</v>
      </c>
      <c r="D6" s="133"/>
      <c r="E6" s="134">
        <f>E5</f>
        <v>6153300</v>
      </c>
      <c r="F6" s="133">
        <f>SUM(F5:F5)</f>
        <v>102</v>
      </c>
      <c r="G6" s="133"/>
      <c r="H6" s="134">
        <f>H5</f>
        <v>11275590</v>
      </c>
      <c r="I6" s="133">
        <f>SUM(I5:I5)</f>
        <v>107</v>
      </c>
      <c r="J6" s="133"/>
      <c r="K6" s="134">
        <f>K5</f>
        <v>12102128</v>
      </c>
    </row>
    <row r="7" spans="1:11" ht="50.25" customHeight="1" x14ac:dyDescent="0.3">
      <c r="A7" s="307" t="s">
        <v>124</v>
      </c>
      <c r="B7" s="307"/>
      <c r="C7" s="307" t="s">
        <v>8</v>
      </c>
      <c r="D7" s="307"/>
      <c r="E7" s="135">
        <f>E6</f>
        <v>6153300</v>
      </c>
      <c r="F7" s="307" t="s">
        <v>8</v>
      </c>
      <c r="G7" s="307"/>
      <c r="H7" s="135">
        <f>H6</f>
        <v>11275590</v>
      </c>
      <c r="I7" s="307" t="s">
        <v>8</v>
      </c>
      <c r="J7" s="307"/>
      <c r="K7" s="135">
        <f>K6</f>
        <v>12102128</v>
      </c>
    </row>
  </sheetData>
  <mergeCells count="10">
    <mergeCell ref="A7:B7"/>
    <mergeCell ref="C7:D7"/>
    <mergeCell ref="F7:G7"/>
    <mergeCell ref="I7:J7"/>
    <mergeCell ref="H1:K1"/>
    <mergeCell ref="A2:K2"/>
    <mergeCell ref="C3:E3"/>
    <mergeCell ref="F3:H3"/>
    <mergeCell ref="I3:K3"/>
    <mergeCell ref="A6:B6"/>
  </mergeCells>
  <pageMargins left="0.70000000000000007" right="0.70000000000000007" top="0.75" bottom="0.75" header="0.30000000000000004" footer="0.3000000000000000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4"/>
  <sheetViews>
    <sheetView workbookViewId="0">
      <selection activeCell="F8" sqref="F8"/>
    </sheetView>
  </sheetViews>
  <sheetFormatPr defaultRowHeight="14.5" x14ac:dyDescent="0.35"/>
  <cols>
    <col min="1" max="1" width="35" customWidth="1"/>
    <col min="2" max="2" width="54.1796875" customWidth="1"/>
    <col min="3" max="3" width="19.54296875" customWidth="1"/>
    <col min="4" max="4" width="21.54296875" customWidth="1"/>
    <col min="5" max="5" width="8.7265625" customWidth="1"/>
  </cols>
  <sheetData>
    <row r="1" spans="1:6" x14ac:dyDescent="0.35">
      <c r="C1" s="136"/>
      <c r="D1" s="311" t="s">
        <v>350</v>
      </c>
      <c r="E1" s="311"/>
      <c r="F1" s="311"/>
    </row>
    <row r="2" spans="1:6" ht="15.75" customHeight="1" x14ac:dyDescent="0.35">
      <c r="A2" s="312" t="s">
        <v>125</v>
      </c>
      <c r="B2" s="312"/>
      <c r="C2" s="312"/>
      <c r="D2" s="312"/>
      <c r="E2" s="137"/>
    </row>
    <row r="3" spans="1:6" ht="65" x14ac:dyDescent="0.35">
      <c r="A3" s="20" t="s">
        <v>126</v>
      </c>
      <c r="B3" s="19" t="s">
        <v>12</v>
      </c>
      <c r="C3" s="138" t="s">
        <v>127</v>
      </c>
      <c r="D3" s="19" t="s">
        <v>128</v>
      </c>
      <c r="E3" s="139"/>
    </row>
    <row r="4" spans="1:6" x14ac:dyDescent="0.35">
      <c r="A4" s="140">
        <v>0.5</v>
      </c>
      <c r="B4" s="141">
        <v>162521</v>
      </c>
      <c r="C4" s="142">
        <v>25.700036999999998</v>
      </c>
      <c r="D4" s="143">
        <f>B4*C4</f>
        <v>4176795.7132769995</v>
      </c>
      <c r="E4" s="144"/>
      <c r="F4" s="145"/>
    </row>
    <row r="5" spans="1:6" x14ac:dyDescent="0.35">
      <c r="A5" s="140">
        <v>0.75</v>
      </c>
      <c r="B5" s="141">
        <v>162533</v>
      </c>
      <c r="C5" s="142">
        <v>38.549999999999997</v>
      </c>
      <c r="D5" s="143">
        <f>B5*C5</f>
        <v>6265647.1499999994</v>
      </c>
      <c r="E5" s="144"/>
    </row>
    <row r="6" spans="1:6" ht="15" customHeight="1" x14ac:dyDescent="0.35">
      <c r="A6" s="313" t="s">
        <v>129</v>
      </c>
      <c r="B6" s="313"/>
      <c r="C6" s="313"/>
      <c r="D6" s="146">
        <f>D5-D4</f>
        <v>2088851.4367229999</v>
      </c>
      <c r="E6" s="147"/>
    </row>
    <row r="7" spans="1:6" x14ac:dyDescent="0.35">
      <c r="A7" s="148"/>
      <c r="B7" s="148"/>
      <c r="C7" s="149"/>
      <c r="D7" s="147"/>
      <c r="E7" s="147"/>
    </row>
    <row r="8" spans="1:6" x14ac:dyDescent="0.35">
      <c r="A8" s="150" t="s">
        <v>130</v>
      </c>
      <c r="B8" s="1"/>
      <c r="C8" s="151"/>
      <c r="D8" s="1"/>
      <c r="E8" s="1"/>
    </row>
    <row r="9" spans="1:6" ht="26" x14ac:dyDescent="0.35">
      <c r="A9" s="152" t="s">
        <v>131</v>
      </c>
      <c r="B9" s="153" t="s">
        <v>132</v>
      </c>
      <c r="C9" s="154" t="s">
        <v>133</v>
      </c>
      <c r="D9" s="153" t="s">
        <v>134</v>
      </c>
      <c r="E9" s="155"/>
    </row>
    <row r="10" spans="1:6" x14ac:dyDescent="0.35">
      <c r="A10" s="314" t="s">
        <v>135</v>
      </c>
      <c r="B10" s="314"/>
      <c r="C10" s="314"/>
      <c r="D10" s="314"/>
      <c r="E10" s="156"/>
    </row>
    <row r="11" spans="1:6" x14ac:dyDescent="0.35">
      <c r="A11" s="157" t="s">
        <v>136</v>
      </c>
      <c r="B11" s="158" t="s">
        <v>137</v>
      </c>
      <c r="C11" s="159">
        <v>0.5</v>
      </c>
      <c r="D11" s="160">
        <v>0.75</v>
      </c>
      <c r="E11" s="161"/>
    </row>
    <row r="12" spans="1:6" x14ac:dyDescent="0.35">
      <c r="A12" s="157" t="s">
        <v>138</v>
      </c>
      <c r="B12" s="158" t="s">
        <v>139</v>
      </c>
      <c r="C12" s="159">
        <v>0.5</v>
      </c>
      <c r="D12" s="160">
        <v>0.75</v>
      </c>
      <c r="E12" s="161"/>
    </row>
    <row r="13" spans="1:6" x14ac:dyDescent="0.35">
      <c r="A13" s="310" t="s">
        <v>140</v>
      </c>
      <c r="B13" s="310"/>
      <c r="C13" s="310"/>
      <c r="D13" s="310"/>
      <c r="E13" s="161"/>
    </row>
    <row r="14" spans="1:6" x14ac:dyDescent="0.35">
      <c r="A14" s="162" t="s">
        <v>141</v>
      </c>
      <c r="B14" s="158" t="s">
        <v>142</v>
      </c>
      <c r="C14" s="159">
        <v>0.5</v>
      </c>
      <c r="D14" s="160">
        <v>0.75</v>
      </c>
      <c r="E14" s="161"/>
    </row>
    <row r="15" spans="1:6" x14ac:dyDescent="0.35">
      <c r="A15" s="162" t="s">
        <v>143</v>
      </c>
      <c r="B15" s="158" t="s">
        <v>144</v>
      </c>
      <c r="C15" s="159">
        <v>0.5</v>
      </c>
      <c r="D15" s="160">
        <v>0.75</v>
      </c>
      <c r="E15" s="161"/>
    </row>
    <row r="16" spans="1:6" x14ac:dyDescent="0.35">
      <c r="A16" s="310" t="s">
        <v>145</v>
      </c>
      <c r="B16" s="310"/>
      <c r="C16" s="310"/>
      <c r="D16" s="310"/>
      <c r="E16" s="161"/>
    </row>
    <row r="17" spans="1:5" x14ac:dyDescent="0.35">
      <c r="A17" s="162" t="s">
        <v>146</v>
      </c>
      <c r="B17" s="158" t="s">
        <v>147</v>
      </c>
      <c r="C17" s="159">
        <v>0.5</v>
      </c>
      <c r="D17" s="160">
        <v>0.75</v>
      </c>
      <c r="E17" s="161"/>
    </row>
    <row r="18" spans="1:5" x14ac:dyDescent="0.35">
      <c r="A18" s="162" t="s">
        <v>148</v>
      </c>
      <c r="B18" s="158" t="s">
        <v>149</v>
      </c>
      <c r="C18" s="159">
        <v>0.5</v>
      </c>
      <c r="D18" s="160">
        <v>0.75</v>
      </c>
      <c r="E18" s="161"/>
    </row>
    <row r="19" spans="1:5" x14ac:dyDescent="0.35">
      <c r="A19" s="163" t="s">
        <v>150</v>
      </c>
      <c r="B19" s="158" t="s">
        <v>151</v>
      </c>
      <c r="C19" s="159">
        <v>0.5</v>
      </c>
      <c r="D19" s="160">
        <v>0.75</v>
      </c>
      <c r="E19" s="161"/>
    </row>
    <row r="20" spans="1:5" x14ac:dyDescent="0.35">
      <c r="A20" s="310" t="s">
        <v>152</v>
      </c>
      <c r="B20" s="310"/>
      <c r="C20" s="310"/>
      <c r="D20" s="310"/>
      <c r="E20" s="161"/>
    </row>
    <row r="21" spans="1:5" x14ac:dyDescent="0.35">
      <c r="A21" s="162" t="s">
        <v>153</v>
      </c>
      <c r="B21" s="158" t="s">
        <v>154</v>
      </c>
      <c r="C21" s="159">
        <v>0.5</v>
      </c>
      <c r="D21" s="160">
        <v>0.75</v>
      </c>
      <c r="E21" s="161"/>
    </row>
    <row r="22" spans="1:5" x14ac:dyDescent="0.35">
      <c r="A22" s="162" t="s">
        <v>155</v>
      </c>
      <c r="B22" s="158" t="s">
        <v>156</v>
      </c>
      <c r="C22" s="159">
        <v>0.5</v>
      </c>
      <c r="D22" s="160">
        <v>0.75</v>
      </c>
      <c r="E22" s="161"/>
    </row>
    <row r="23" spans="1:5" x14ac:dyDescent="0.35">
      <c r="A23" s="162" t="s">
        <v>157</v>
      </c>
      <c r="B23" s="158" t="s">
        <v>158</v>
      </c>
      <c r="C23" s="159">
        <v>0.5</v>
      </c>
      <c r="D23" s="160">
        <v>0.75</v>
      </c>
      <c r="E23" s="161"/>
    </row>
    <row r="24" spans="1:5" x14ac:dyDescent="0.35">
      <c r="A24" s="162" t="s">
        <v>159</v>
      </c>
      <c r="B24" s="164" t="s">
        <v>160</v>
      </c>
      <c r="C24" s="159">
        <v>0.5</v>
      </c>
      <c r="D24" s="160">
        <v>0.75</v>
      </c>
      <c r="E24" s="161"/>
    </row>
    <row r="25" spans="1:5" x14ac:dyDescent="0.35">
      <c r="A25" s="310" t="s">
        <v>161</v>
      </c>
      <c r="B25" s="310"/>
      <c r="C25" s="310"/>
      <c r="D25" s="310"/>
      <c r="E25" s="161"/>
    </row>
    <row r="26" spans="1:5" x14ac:dyDescent="0.35">
      <c r="A26" s="162" t="s">
        <v>162</v>
      </c>
      <c r="B26" s="158" t="s">
        <v>163</v>
      </c>
      <c r="C26" s="159">
        <v>0.5</v>
      </c>
      <c r="D26" s="160">
        <v>0.75</v>
      </c>
      <c r="E26" s="161"/>
    </row>
    <row r="27" spans="1:5" x14ac:dyDescent="0.35">
      <c r="A27" s="162" t="s">
        <v>164</v>
      </c>
      <c r="B27" s="158" t="s">
        <v>165</v>
      </c>
      <c r="C27" s="159">
        <v>0.5</v>
      </c>
      <c r="D27" s="160">
        <v>0.75</v>
      </c>
      <c r="E27" s="161"/>
    </row>
    <row r="28" spans="1:5" x14ac:dyDescent="0.35">
      <c r="A28" s="310" t="s">
        <v>166</v>
      </c>
      <c r="B28" s="310"/>
      <c r="C28" s="310"/>
      <c r="D28" s="310"/>
      <c r="E28" s="161"/>
    </row>
    <row r="29" spans="1:5" x14ac:dyDescent="0.35">
      <c r="A29" s="162" t="s">
        <v>167</v>
      </c>
      <c r="B29" s="158" t="s">
        <v>168</v>
      </c>
      <c r="C29" s="159">
        <v>0.5</v>
      </c>
      <c r="D29" s="160">
        <v>0.75</v>
      </c>
      <c r="E29" s="161"/>
    </row>
    <row r="30" spans="1:5" x14ac:dyDescent="0.35">
      <c r="A30" s="162" t="s">
        <v>169</v>
      </c>
      <c r="B30" s="158" t="s">
        <v>170</v>
      </c>
      <c r="C30" s="159">
        <v>0.5</v>
      </c>
      <c r="D30" s="160">
        <v>0.75</v>
      </c>
      <c r="E30" s="161"/>
    </row>
    <row r="31" spans="1:5" x14ac:dyDescent="0.35">
      <c r="A31" s="162" t="s">
        <v>171</v>
      </c>
      <c r="B31" s="158" t="s">
        <v>172</v>
      </c>
      <c r="C31" s="159">
        <v>0.5</v>
      </c>
      <c r="D31" s="160">
        <v>0.75</v>
      </c>
      <c r="E31" s="161"/>
    </row>
    <row r="32" spans="1:5" x14ac:dyDescent="0.35">
      <c r="A32" s="310" t="s">
        <v>173</v>
      </c>
      <c r="B32" s="310"/>
      <c r="C32" s="310"/>
      <c r="D32" s="310"/>
      <c r="E32" s="161"/>
    </row>
    <row r="33" spans="1:5" x14ac:dyDescent="0.35">
      <c r="A33" s="162" t="s">
        <v>174</v>
      </c>
      <c r="B33" s="158" t="s">
        <v>175</v>
      </c>
      <c r="C33" s="159">
        <v>0.5</v>
      </c>
      <c r="D33" s="160">
        <v>0.75</v>
      </c>
      <c r="E33" s="161"/>
    </row>
    <row r="34" spans="1:5" x14ac:dyDescent="0.35">
      <c r="A34" s="162" t="s">
        <v>176</v>
      </c>
      <c r="B34" s="158" t="s">
        <v>177</v>
      </c>
      <c r="C34" s="159">
        <v>0.5</v>
      </c>
      <c r="D34" s="160">
        <v>0.75</v>
      </c>
      <c r="E34" s="161"/>
    </row>
    <row r="35" spans="1:5" x14ac:dyDescent="0.35">
      <c r="A35" s="310" t="s">
        <v>178</v>
      </c>
      <c r="B35" s="310"/>
      <c r="C35" s="310"/>
      <c r="D35" s="310"/>
      <c r="E35" s="161"/>
    </row>
    <row r="36" spans="1:5" x14ac:dyDescent="0.35">
      <c r="A36" s="162" t="s">
        <v>179</v>
      </c>
      <c r="B36" s="158" t="s">
        <v>180</v>
      </c>
      <c r="C36" s="159">
        <v>0.5</v>
      </c>
      <c r="D36" s="160">
        <v>0.75</v>
      </c>
      <c r="E36" s="161"/>
    </row>
    <row r="37" spans="1:5" x14ac:dyDescent="0.35">
      <c r="A37" s="162" t="s">
        <v>181</v>
      </c>
      <c r="B37" s="158" t="s">
        <v>182</v>
      </c>
      <c r="C37" s="159">
        <v>0.5</v>
      </c>
      <c r="D37" s="160">
        <v>0.75</v>
      </c>
      <c r="E37" s="161"/>
    </row>
    <row r="38" spans="1:5" x14ac:dyDescent="0.35">
      <c r="A38" s="162" t="s">
        <v>183</v>
      </c>
      <c r="B38" s="164" t="s">
        <v>184</v>
      </c>
      <c r="C38" s="159">
        <v>0.5</v>
      </c>
      <c r="D38" s="160">
        <v>0.75</v>
      </c>
      <c r="E38" s="161"/>
    </row>
    <row r="39" spans="1:5" ht="28" x14ac:dyDescent="0.35">
      <c r="A39" s="162" t="s">
        <v>185</v>
      </c>
      <c r="B39" s="158" t="s">
        <v>186</v>
      </c>
      <c r="C39" s="159">
        <v>0.5</v>
      </c>
      <c r="D39" s="160">
        <v>0.75</v>
      </c>
      <c r="E39" s="161"/>
    </row>
    <row r="40" spans="1:5" x14ac:dyDescent="0.35">
      <c r="A40" s="310" t="s">
        <v>187</v>
      </c>
      <c r="B40" s="310"/>
      <c r="C40" s="310"/>
      <c r="D40" s="310"/>
      <c r="E40" s="161"/>
    </row>
    <row r="41" spans="1:5" x14ac:dyDescent="0.35">
      <c r="A41" s="162" t="s">
        <v>188</v>
      </c>
      <c r="B41" s="158" t="s">
        <v>189</v>
      </c>
      <c r="C41" s="159">
        <v>0.5</v>
      </c>
      <c r="D41" s="160">
        <v>0.75</v>
      </c>
      <c r="E41" s="161"/>
    </row>
    <row r="42" spans="1:5" x14ac:dyDescent="0.35">
      <c r="A42" s="162" t="s">
        <v>190</v>
      </c>
      <c r="B42" s="158" t="s">
        <v>191</v>
      </c>
      <c r="C42" s="159">
        <v>0.5</v>
      </c>
      <c r="D42" s="160">
        <v>0.75</v>
      </c>
      <c r="E42" s="161"/>
    </row>
    <row r="43" spans="1:5" x14ac:dyDescent="0.35">
      <c r="A43" s="162" t="s">
        <v>192</v>
      </c>
      <c r="B43" s="158" t="s">
        <v>193</v>
      </c>
      <c r="C43" s="159">
        <v>0.5</v>
      </c>
      <c r="D43" s="160">
        <v>0.75</v>
      </c>
      <c r="E43" s="161"/>
    </row>
    <row r="44" spans="1:5" x14ac:dyDescent="0.35">
      <c r="A44" s="165"/>
      <c r="B44" s="166"/>
      <c r="C44" s="167"/>
      <c r="D44" s="168"/>
      <c r="E44" s="161"/>
    </row>
  </sheetData>
  <mergeCells count="12">
    <mergeCell ref="A40:D40"/>
    <mergeCell ref="D1:F1"/>
    <mergeCell ref="A2:D2"/>
    <mergeCell ref="A6:C6"/>
    <mergeCell ref="A10:D10"/>
    <mergeCell ref="A13:D13"/>
    <mergeCell ref="A16:D16"/>
    <mergeCell ref="A20:D20"/>
    <mergeCell ref="A25:D25"/>
    <mergeCell ref="A28:D28"/>
    <mergeCell ref="A32:D32"/>
    <mergeCell ref="A35:D35"/>
  </mergeCells>
  <pageMargins left="0.70000000000000007" right="0.70000000000000007" top="0.75" bottom="0.75" header="0.30000000000000004" footer="0.3000000000000000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3"/>
  <sheetViews>
    <sheetView topLeftCell="B1" workbookViewId="0">
      <selection activeCell="H1" sqref="H1:K1"/>
    </sheetView>
  </sheetViews>
  <sheetFormatPr defaultColWidth="8.7265625" defaultRowHeight="13" x14ac:dyDescent="0.3"/>
  <cols>
    <col min="1" max="1" width="30.54296875" style="16" customWidth="1"/>
    <col min="2" max="2" width="30.1796875" style="16" customWidth="1"/>
    <col min="3" max="3" width="14.1796875" style="16" customWidth="1"/>
    <col min="4" max="4" width="13.1796875" style="16" customWidth="1"/>
    <col min="5" max="5" width="17.7265625" style="16" customWidth="1"/>
    <col min="6" max="6" width="17" style="16" customWidth="1"/>
    <col min="7" max="7" width="14" style="16" customWidth="1"/>
    <col min="8" max="8" width="19.1796875" style="16" customWidth="1"/>
    <col min="9" max="9" width="12.81640625" style="16" customWidth="1"/>
    <col min="10" max="10" width="13.453125" style="16" customWidth="1"/>
    <col min="11" max="11" width="14.54296875" style="16" customWidth="1"/>
    <col min="12" max="12" width="8.7265625" style="16" customWidth="1"/>
    <col min="13" max="16384" width="8.7265625" style="16"/>
  </cols>
  <sheetData>
    <row r="1" spans="1:11" customFormat="1" ht="14.5" x14ac:dyDescent="0.35">
      <c r="A1" s="16"/>
      <c r="B1" s="16"/>
      <c r="C1" s="16"/>
      <c r="D1" s="16"/>
      <c r="E1" s="16"/>
      <c r="F1" s="16"/>
      <c r="G1" s="16"/>
      <c r="H1" s="279" t="s">
        <v>351</v>
      </c>
      <c r="I1" s="279"/>
      <c r="J1" s="279"/>
      <c r="K1" s="279"/>
    </row>
    <row r="2" spans="1:11" customFormat="1" ht="14.5" x14ac:dyDescent="0.35">
      <c r="A2" s="169" t="s">
        <v>194</v>
      </c>
      <c r="B2" s="170"/>
      <c r="C2" s="171"/>
      <c r="D2" s="171"/>
      <c r="E2" s="172"/>
      <c r="F2" s="172"/>
      <c r="G2" s="172"/>
      <c r="H2" s="172"/>
      <c r="I2" s="172"/>
      <c r="J2" s="172"/>
      <c r="K2" s="16"/>
    </row>
    <row r="3" spans="1:11" customFormat="1" ht="14.5" x14ac:dyDescent="0.35">
      <c r="A3" s="316" t="s">
        <v>195</v>
      </c>
      <c r="B3" s="317" t="s">
        <v>132</v>
      </c>
      <c r="C3" s="318" t="s">
        <v>13</v>
      </c>
      <c r="D3" s="318"/>
      <c r="E3" s="318"/>
      <c r="F3" s="318" t="s">
        <v>14</v>
      </c>
      <c r="G3" s="318"/>
      <c r="H3" s="318"/>
      <c r="I3" s="318" t="s">
        <v>15</v>
      </c>
      <c r="J3" s="318"/>
      <c r="K3" s="318"/>
    </row>
    <row r="4" spans="1:11" customFormat="1" ht="52" x14ac:dyDescent="0.35">
      <c r="A4" s="316"/>
      <c r="B4" s="317"/>
      <c r="C4" s="173" t="s">
        <v>12</v>
      </c>
      <c r="D4" s="173" t="s">
        <v>17</v>
      </c>
      <c r="E4" s="173" t="s">
        <v>18</v>
      </c>
      <c r="F4" s="174" t="s">
        <v>196</v>
      </c>
      <c r="G4" s="174" t="s">
        <v>197</v>
      </c>
      <c r="H4" s="174" t="s">
        <v>198</v>
      </c>
      <c r="I4" s="174" t="s">
        <v>199</v>
      </c>
      <c r="J4" s="175" t="s">
        <v>200</v>
      </c>
      <c r="K4" s="174" t="s">
        <v>201</v>
      </c>
    </row>
    <row r="5" spans="1:11" customFormat="1" ht="14.5" x14ac:dyDescent="0.35">
      <c r="A5" s="315" t="s">
        <v>202</v>
      </c>
      <c r="B5" s="177" t="s">
        <v>203</v>
      </c>
      <c r="C5" s="36"/>
      <c r="D5" s="36"/>
      <c r="E5" s="178"/>
      <c r="F5" s="25">
        <v>1500</v>
      </c>
      <c r="G5" s="25">
        <v>350</v>
      </c>
      <c r="H5" s="25">
        <f>F5*G5</f>
        <v>525000</v>
      </c>
      <c r="I5" s="25">
        <v>2000</v>
      </c>
      <c r="J5" s="179">
        <v>350</v>
      </c>
      <c r="K5" s="180">
        <f>I5*G5</f>
        <v>700000</v>
      </c>
    </row>
    <row r="6" spans="1:11" customFormat="1" ht="14.5" x14ac:dyDescent="0.35">
      <c r="A6" s="315"/>
      <c r="B6" s="177" t="s">
        <v>204</v>
      </c>
      <c r="C6" s="36"/>
      <c r="D6" s="36"/>
      <c r="E6" s="178"/>
      <c r="F6" s="131">
        <v>1500</v>
      </c>
      <c r="G6" s="25">
        <v>350</v>
      </c>
      <c r="H6" s="25">
        <f>G6*F6</f>
        <v>525000</v>
      </c>
      <c r="I6" s="25">
        <v>2000</v>
      </c>
      <c r="J6" s="179">
        <v>350</v>
      </c>
      <c r="K6" s="180">
        <f>I6*G6</f>
        <v>700000</v>
      </c>
    </row>
    <row r="7" spans="1:11" customFormat="1" ht="52" x14ac:dyDescent="0.35">
      <c r="A7" s="315" t="s">
        <v>205</v>
      </c>
      <c r="B7" s="177" t="s">
        <v>206</v>
      </c>
      <c r="C7" s="36"/>
      <c r="D7" s="36"/>
      <c r="E7" s="178"/>
      <c r="F7" s="25">
        <v>1400</v>
      </c>
      <c r="G7" s="25">
        <v>73</v>
      </c>
      <c r="H7" s="25">
        <f>G7*F7</f>
        <v>102200</v>
      </c>
      <c r="I7" s="25">
        <v>1400</v>
      </c>
      <c r="J7" s="28">
        <v>73</v>
      </c>
      <c r="K7" s="180">
        <f>I7*G7</f>
        <v>102200</v>
      </c>
    </row>
    <row r="8" spans="1:11" customFormat="1" ht="14.5" x14ac:dyDescent="0.35">
      <c r="A8" s="315"/>
      <c r="B8" s="181" t="s">
        <v>207</v>
      </c>
      <c r="C8" s="36"/>
      <c r="D8" s="36"/>
      <c r="E8" s="178"/>
      <c r="F8" s="182">
        <v>15</v>
      </c>
      <c r="G8" s="182">
        <v>3000</v>
      </c>
      <c r="H8" s="183">
        <f>G8*F8</f>
        <v>45000</v>
      </c>
      <c r="I8" s="182">
        <v>15</v>
      </c>
      <c r="J8" s="179">
        <v>3000</v>
      </c>
      <c r="K8" s="180">
        <f>I8*G8</f>
        <v>45000</v>
      </c>
    </row>
    <row r="9" spans="1:11" customFormat="1" ht="14.5" x14ac:dyDescent="0.35">
      <c r="A9" s="184" t="s">
        <v>208</v>
      </c>
      <c r="B9" s="177" t="s">
        <v>209</v>
      </c>
      <c r="C9" s="36"/>
      <c r="D9" s="36"/>
      <c r="E9" s="178"/>
      <c r="F9" s="25">
        <v>50</v>
      </c>
      <c r="G9" s="25">
        <v>2257</v>
      </c>
      <c r="H9" s="25">
        <f>G9*F9</f>
        <v>112850</v>
      </c>
      <c r="I9" s="25">
        <v>70</v>
      </c>
      <c r="J9" s="179">
        <v>2257</v>
      </c>
      <c r="K9" s="180">
        <f>I9*G9</f>
        <v>157990</v>
      </c>
    </row>
    <row r="10" spans="1:11" customFormat="1" ht="14.5" x14ac:dyDescent="0.35">
      <c r="A10" s="184" t="s">
        <v>210</v>
      </c>
      <c r="B10" s="181" t="s">
        <v>211</v>
      </c>
      <c r="C10" s="25">
        <v>5600</v>
      </c>
      <c r="D10" s="25">
        <v>120</v>
      </c>
      <c r="E10" s="185">
        <f>C10*D10</f>
        <v>672000</v>
      </c>
      <c r="F10" s="25">
        <v>5600</v>
      </c>
      <c r="G10" s="25">
        <v>120</v>
      </c>
      <c r="H10" s="25">
        <f>F10*G10</f>
        <v>672000</v>
      </c>
      <c r="I10" s="25">
        <v>5600</v>
      </c>
      <c r="J10" s="179">
        <v>120</v>
      </c>
      <c r="K10" s="186">
        <f>I10*J10</f>
        <v>672000</v>
      </c>
    </row>
    <row r="11" spans="1:11" customFormat="1" ht="14.5" x14ac:dyDescent="0.35">
      <c r="A11" s="176" t="s">
        <v>212</v>
      </c>
      <c r="B11" s="181" t="s">
        <v>213</v>
      </c>
      <c r="C11" s="182">
        <v>750</v>
      </c>
      <c r="D11" s="182">
        <v>730.90499999999997</v>
      </c>
      <c r="E11" s="187">
        <f>C11*D11</f>
        <v>548178.75</v>
      </c>
      <c r="F11" s="182">
        <v>1000</v>
      </c>
      <c r="G11" s="182">
        <v>730.90499999999997</v>
      </c>
      <c r="H11" s="183">
        <f>F11*G11</f>
        <v>730905</v>
      </c>
      <c r="I11" s="182">
        <v>1000</v>
      </c>
      <c r="J11" s="188">
        <v>730.90499999999997</v>
      </c>
      <c r="K11" s="183">
        <f>I11*J11</f>
        <v>730905</v>
      </c>
    </row>
    <row r="12" spans="1:11" customFormat="1" ht="14.5" x14ac:dyDescent="0.35">
      <c r="A12" s="189" t="s">
        <v>214</v>
      </c>
      <c r="B12" s="177"/>
      <c r="C12" s="25">
        <f>C10+C11</f>
        <v>6350</v>
      </c>
      <c r="D12" s="25"/>
      <c r="E12" s="190">
        <f>E10+E11</f>
        <v>1220178.75</v>
      </c>
      <c r="F12" s="191">
        <f>SUM(F5:F11)</f>
        <v>11065</v>
      </c>
      <c r="G12" s="191"/>
      <c r="H12" s="192">
        <f>SUM(H5:H11)</f>
        <v>2712955</v>
      </c>
      <c r="I12" s="191">
        <f>SUM(I5:I11)</f>
        <v>12085</v>
      </c>
      <c r="J12" s="193"/>
      <c r="K12" s="192">
        <f>SUM(K5:K11)</f>
        <v>3108095</v>
      </c>
    </row>
    <row r="13" spans="1:11" customFormat="1" ht="14.5" x14ac:dyDescent="0.35">
      <c r="A13" s="16"/>
      <c r="B13" s="16"/>
      <c r="C13" s="16"/>
      <c r="D13" s="16"/>
      <c r="E13" s="131" t="s">
        <v>215</v>
      </c>
      <c r="F13" s="194"/>
      <c r="G13" s="194"/>
      <c r="H13" s="131" t="s">
        <v>216</v>
      </c>
      <c r="I13" s="194"/>
      <c r="J13" s="16"/>
      <c r="K13" s="131" t="s">
        <v>217</v>
      </c>
    </row>
  </sheetData>
  <mergeCells count="8">
    <mergeCell ref="A5:A6"/>
    <mergeCell ref="A7:A8"/>
    <mergeCell ref="H1:K1"/>
    <mergeCell ref="A3:A4"/>
    <mergeCell ref="B3:B4"/>
    <mergeCell ref="C3:E3"/>
    <mergeCell ref="F3:H3"/>
    <mergeCell ref="I3:K3"/>
  </mergeCells>
  <pageMargins left="0.70000000000000007" right="0.70000000000000007" top="0.75" bottom="0.75" header="0.30000000000000004" footer="0.3000000000000000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6"/>
  <sheetViews>
    <sheetView workbookViewId="0">
      <selection activeCell="D1" sqref="D1:F1"/>
    </sheetView>
  </sheetViews>
  <sheetFormatPr defaultColWidth="8.7265625" defaultRowHeight="13" x14ac:dyDescent="0.3"/>
  <cols>
    <col min="1" max="1" width="22.1796875" style="16" customWidth="1"/>
    <col min="2" max="2" width="31.453125" style="16" customWidth="1"/>
    <col min="3" max="3" width="14.453125" style="16" customWidth="1"/>
    <col min="4" max="4" width="8.7265625" style="16" customWidth="1"/>
    <col min="5" max="5" width="12.1796875" style="16" customWidth="1"/>
    <col min="6" max="6" width="19.54296875" style="16" customWidth="1"/>
    <col min="7" max="7" width="8.7265625" style="16" customWidth="1"/>
    <col min="8" max="16384" width="8.7265625" style="16"/>
  </cols>
  <sheetData>
    <row r="1" spans="1:6" x14ac:dyDescent="0.3">
      <c r="D1" s="279" t="s">
        <v>352</v>
      </c>
      <c r="E1" s="279"/>
      <c r="F1" s="279"/>
    </row>
    <row r="2" spans="1:6" ht="27.75" customHeight="1" x14ac:dyDescent="0.3">
      <c r="A2" s="319" t="s">
        <v>218</v>
      </c>
      <c r="B2" s="319"/>
      <c r="C2" s="319"/>
      <c r="D2" s="319"/>
      <c r="E2" s="319"/>
      <c r="F2" s="319"/>
    </row>
    <row r="3" spans="1:6" ht="65" x14ac:dyDescent="0.3">
      <c r="A3" s="18" t="s">
        <v>61</v>
      </c>
      <c r="B3" s="18" t="s">
        <v>74</v>
      </c>
      <c r="C3" s="18" t="s">
        <v>75</v>
      </c>
      <c r="D3" s="18" t="s">
        <v>76</v>
      </c>
      <c r="E3" s="18" t="s">
        <v>219</v>
      </c>
      <c r="F3" s="19" t="s">
        <v>220</v>
      </c>
    </row>
    <row r="4" spans="1:6" x14ac:dyDescent="0.3">
      <c r="A4" s="37" t="s">
        <v>202</v>
      </c>
      <c r="B4" s="131">
        <v>3500</v>
      </c>
      <c r="C4" s="195">
        <v>548</v>
      </c>
      <c r="D4" s="60">
        <f>B4*C4</f>
        <v>1918000</v>
      </c>
      <c r="E4" s="131">
        <v>800000</v>
      </c>
      <c r="F4" s="196">
        <f>D4-E4</f>
        <v>1118000</v>
      </c>
    </row>
    <row r="5" spans="1:6" x14ac:dyDescent="0.3">
      <c r="F5" s="120"/>
    </row>
    <row r="6" spans="1:6" x14ac:dyDescent="0.3">
      <c r="A6" s="197"/>
      <c r="B6" s="197"/>
      <c r="C6" s="197"/>
      <c r="D6" s="197"/>
      <c r="E6" s="197"/>
      <c r="F6" s="197"/>
    </row>
  </sheetData>
  <mergeCells count="2">
    <mergeCell ref="D1:F1"/>
    <mergeCell ref="A2:F2"/>
  </mergeCells>
  <pageMargins left="0.70000000000000007" right="0.70000000000000007" top="0.75" bottom="0.75" header="0.30000000000000004" footer="0.3000000000000000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6"/>
  <sheetViews>
    <sheetView workbookViewId="0">
      <selection activeCell="G1" sqref="G1:I1"/>
    </sheetView>
  </sheetViews>
  <sheetFormatPr defaultColWidth="8.7265625" defaultRowHeight="13" x14ac:dyDescent="0.3"/>
  <cols>
    <col min="1" max="1" width="23" style="16" customWidth="1"/>
    <col min="2" max="2" width="11.81640625" style="16" customWidth="1"/>
    <col min="3" max="3" width="14.7265625" style="16" customWidth="1"/>
    <col min="4" max="5" width="15.54296875" style="16" customWidth="1"/>
    <col min="6" max="6" width="10.7265625" style="16" customWidth="1"/>
    <col min="7" max="7" width="13.1796875" style="16" customWidth="1"/>
    <col min="8" max="8" width="11.1796875" style="16" customWidth="1"/>
    <col min="9" max="9" width="12.54296875" style="16" customWidth="1"/>
    <col min="10" max="10" width="8.7265625" style="16" customWidth="1"/>
    <col min="11" max="16384" width="8.7265625" style="16"/>
  </cols>
  <sheetData>
    <row r="1" spans="1:9" x14ac:dyDescent="0.3">
      <c r="G1" s="279" t="s">
        <v>353</v>
      </c>
      <c r="H1" s="279"/>
      <c r="I1" s="279"/>
    </row>
    <row r="2" spans="1:9" x14ac:dyDescent="0.3">
      <c r="A2" s="109" t="s">
        <v>337</v>
      </c>
      <c r="G2" s="120"/>
    </row>
    <row r="3" spans="1:9" ht="78" x14ac:dyDescent="0.3">
      <c r="A3" s="198" t="s">
        <v>22</v>
      </c>
      <c r="B3" s="20" t="s">
        <v>221</v>
      </c>
      <c r="C3" s="20" t="s">
        <v>222</v>
      </c>
      <c r="D3" s="20" t="s">
        <v>223</v>
      </c>
      <c r="E3" s="20" t="s">
        <v>224</v>
      </c>
      <c r="F3" s="20" t="s">
        <v>225</v>
      </c>
      <c r="G3" s="20" t="s">
        <v>226</v>
      </c>
      <c r="H3" s="20" t="s">
        <v>227</v>
      </c>
      <c r="I3" s="20" t="s">
        <v>228</v>
      </c>
    </row>
    <row r="4" spans="1:9" ht="26" x14ac:dyDescent="0.3">
      <c r="A4" s="33" t="s">
        <v>229</v>
      </c>
      <c r="B4" s="66">
        <v>732766</v>
      </c>
      <c r="C4" s="199">
        <v>240.72</v>
      </c>
      <c r="D4" s="200">
        <v>0.01</v>
      </c>
      <c r="E4" s="201"/>
      <c r="F4" s="200">
        <v>0.02</v>
      </c>
      <c r="G4" s="31"/>
      <c r="H4" s="200">
        <v>0.02</v>
      </c>
      <c r="I4" s="31"/>
    </row>
    <row r="5" spans="1:9" x14ac:dyDescent="0.3">
      <c r="A5" s="33" t="s">
        <v>230</v>
      </c>
      <c r="B5" s="199"/>
      <c r="C5" s="199">
        <v>240.72</v>
      </c>
      <c r="D5" s="202">
        <f>B4*D4</f>
        <v>7327.66</v>
      </c>
      <c r="E5" s="203">
        <f>D5*C5</f>
        <v>1763914.3152000001</v>
      </c>
      <c r="F5" s="202">
        <v>14949</v>
      </c>
      <c r="G5" s="203">
        <f>F5*C5+E5</f>
        <v>5362437.5952000003</v>
      </c>
      <c r="H5" s="202">
        <v>15247</v>
      </c>
      <c r="I5" s="203">
        <f>H5*C5+G5</f>
        <v>9032695.4352000002</v>
      </c>
    </row>
    <row r="6" spans="1:9" x14ac:dyDescent="0.3">
      <c r="A6" s="320" t="s">
        <v>231</v>
      </c>
      <c r="B6" s="320"/>
      <c r="C6" s="320"/>
      <c r="D6" s="320"/>
      <c r="E6" s="320"/>
      <c r="F6" s="320"/>
      <c r="G6" s="320"/>
      <c r="H6" s="320"/>
      <c r="I6" s="320"/>
    </row>
  </sheetData>
  <mergeCells count="2">
    <mergeCell ref="G1:I1"/>
    <mergeCell ref="A6:I6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8"/>
  <sheetViews>
    <sheetView workbookViewId="0">
      <selection activeCell="D1" sqref="D1:F1"/>
    </sheetView>
  </sheetViews>
  <sheetFormatPr defaultColWidth="8.7265625" defaultRowHeight="13" x14ac:dyDescent="0.3"/>
  <cols>
    <col min="1" max="1" width="22.81640625" style="16" customWidth="1"/>
    <col min="2" max="2" width="29.453125" style="16" customWidth="1"/>
    <col min="3" max="3" width="14.26953125" style="16" customWidth="1"/>
    <col min="4" max="4" width="18.81640625" style="16" customWidth="1"/>
    <col min="5" max="5" width="8.7265625" style="16" customWidth="1"/>
    <col min="6" max="16384" width="8.7265625" style="16"/>
  </cols>
  <sheetData>
    <row r="1" spans="1:6" x14ac:dyDescent="0.3">
      <c r="D1" s="279" t="s">
        <v>354</v>
      </c>
      <c r="E1" s="279"/>
      <c r="F1" s="279"/>
    </row>
    <row r="2" spans="1:6" x14ac:dyDescent="0.3">
      <c r="A2" s="204" t="s">
        <v>232</v>
      </c>
      <c r="B2" s="205"/>
      <c r="C2" s="206"/>
      <c r="D2" s="205"/>
    </row>
    <row r="3" spans="1:6" ht="65" x14ac:dyDescent="0.3">
      <c r="A3" s="207"/>
      <c r="B3" s="19" t="s">
        <v>12</v>
      </c>
      <c r="C3" s="19" t="s">
        <v>233</v>
      </c>
      <c r="D3" s="19" t="s">
        <v>234</v>
      </c>
    </row>
    <row r="4" spans="1:6" x14ac:dyDescent="0.3">
      <c r="A4" s="208">
        <v>0.75</v>
      </c>
      <c r="B4" s="209">
        <v>528526</v>
      </c>
      <c r="C4" s="209">
        <v>66.473234000000005</v>
      </c>
      <c r="D4" s="25">
        <f>B4*C4</f>
        <v>35132832.473084003</v>
      </c>
      <c r="E4" s="210"/>
    </row>
    <row r="5" spans="1:6" x14ac:dyDescent="0.3">
      <c r="A5" s="211">
        <v>1</v>
      </c>
      <c r="B5" s="209">
        <v>528526</v>
      </c>
      <c r="C5" s="209">
        <v>88.626667999999995</v>
      </c>
      <c r="D5" s="25">
        <f>B5*C5</f>
        <v>46841498.331367999</v>
      </c>
      <c r="E5" s="210"/>
    </row>
    <row r="6" spans="1:6" ht="12.75" customHeight="1" x14ac:dyDescent="0.3">
      <c r="A6" s="322" t="s">
        <v>129</v>
      </c>
      <c r="B6" s="322"/>
      <c r="C6" s="322"/>
      <c r="D6" s="26">
        <f>ROUND((D5-D4),0)</f>
        <v>11708666</v>
      </c>
    </row>
    <row r="7" spans="1:6" x14ac:dyDescent="0.3">
      <c r="A7" s="212"/>
      <c r="B7" s="139"/>
      <c r="C7" s="213"/>
      <c r="D7" s="171"/>
    </row>
    <row r="8" spans="1:6" x14ac:dyDescent="0.3">
      <c r="A8" s="109" t="s">
        <v>130</v>
      </c>
      <c r="C8" s="214"/>
      <c r="E8" s="215"/>
    </row>
    <row r="9" spans="1:6" ht="39" x14ac:dyDescent="0.3">
      <c r="A9" s="152" t="s">
        <v>131</v>
      </c>
      <c r="B9" s="152" t="s">
        <v>235</v>
      </c>
      <c r="C9" s="153" t="s">
        <v>133</v>
      </c>
      <c r="D9" s="199" t="s">
        <v>134</v>
      </c>
    </row>
    <row r="10" spans="1:6" ht="12.75" customHeight="1" x14ac:dyDescent="0.3">
      <c r="A10" s="321" t="s">
        <v>236</v>
      </c>
      <c r="B10" s="321"/>
      <c r="C10" s="321"/>
      <c r="D10" s="321"/>
    </row>
    <row r="11" spans="1:6" x14ac:dyDescent="0.3">
      <c r="A11" s="67" t="s">
        <v>237</v>
      </c>
      <c r="B11" s="67" t="s">
        <v>238</v>
      </c>
      <c r="C11" s="216">
        <v>0.75</v>
      </c>
      <c r="D11" s="217">
        <v>1</v>
      </c>
    </row>
    <row r="12" spans="1:6" x14ac:dyDescent="0.3">
      <c r="A12" s="67" t="s">
        <v>239</v>
      </c>
      <c r="B12" s="67" t="s">
        <v>240</v>
      </c>
      <c r="C12" s="216">
        <v>0.75</v>
      </c>
      <c r="D12" s="218">
        <v>1</v>
      </c>
    </row>
    <row r="13" spans="1:6" x14ac:dyDescent="0.3">
      <c r="A13" s="67" t="s">
        <v>241</v>
      </c>
      <c r="B13" s="67" t="s">
        <v>242</v>
      </c>
      <c r="C13" s="216">
        <v>0.75</v>
      </c>
      <c r="D13" s="218">
        <v>1</v>
      </c>
    </row>
    <row r="14" spans="1:6" x14ac:dyDescent="0.3">
      <c r="A14" s="67" t="s">
        <v>243</v>
      </c>
      <c r="B14" s="67" t="s">
        <v>244</v>
      </c>
      <c r="C14" s="216">
        <v>0.75</v>
      </c>
      <c r="D14" s="218">
        <v>1</v>
      </c>
      <c r="E14" s="197"/>
    </row>
    <row r="15" spans="1:6" x14ac:dyDescent="0.3">
      <c r="A15" s="67" t="s">
        <v>245</v>
      </c>
      <c r="B15" s="67" t="s">
        <v>246</v>
      </c>
      <c r="C15" s="216">
        <v>0.75</v>
      </c>
      <c r="D15" s="218">
        <v>1</v>
      </c>
    </row>
    <row r="16" spans="1:6" x14ac:dyDescent="0.3">
      <c r="A16" s="219" t="s">
        <v>247</v>
      </c>
      <c r="B16" s="67" t="s">
        <v>248</v>
      </c>
      <c r="C16" s="216">
        <v>0.75</v>
      </c>
      <c r="D16" s="218">
        <v>1</v>
      </c>
    </row>
    <row r="17" spans="1:4" ht="12.75" customHeight="1" x14ac:dyDescent="0.3">
      <c r="A17" s="321" t="s">
        <v>145</v>
      </c>
      <c r="B17" s="321"/>
      <c r="C17" s="321"/>
      <c r="D17" s="321"/>
    </row>
    <row r="18" spans="1:4" x14ac:dyDescent="0.3">
      <c r="A18" s="220" t="s">
        <v>249</v>
      </c>
      <c r="B18" s="221" t="s">
        <v>250</v>
      </c>
      <c r="C18" s="218">
        <v>0.75</v>
      </c>
      <c r="D18" s="218">
        <v>1</v>
      </c>
    </row>
    <row r="19" spans="1:4" ht="12.75" customHeight="1" x14ac:dyDescent="0.3">
      <c r="A19" s="321" t="s">
        <v>152</v>
      </c>
      <c r="B19" s="321"/>
      <c r="C19" s="321"/>
      <c r="D19" s="321"/>
    </row>
    <row r="20" spans="1:4" x14ac:dyDescent="0.3">
      <c r="A20" s="220" t="s">
        <v>251</v>
      </c>
      <c r="B20" s="221" t="s">
        <v>252</v>
      </c>
      <c r="C20" s="218">
        <v>0.75</v>
      </c>
      <c r="D20" s="218">
        <v>1</v>
      </c>
    </row>
    <row r="21" spans="1:4" x14ac:dyDescent="0.3">
      <c r="A21" s="220" t="s">
        <v>253</v>
      </c>
      <c r="B21" s="221" t="s">
        <v>254</v>
      </c>
      <c r="C21" s="218">
        <v>0.75</v>
      </c>
      <c r="D21" s="218">
        <v>1</v>
      </c>
    </row>
    <row r="22" spans="1:4" ht="26" x14ac:dyDescent="0.3">
      <c r="A22" s="220" t="s">
        <v>255</v>
      </c>
      <c r="B22" s="221" t="s">
        <v>256</v>
      </c>
      <c r="C22" s="218">
        <v>0.75</v>
      </c>
      <c r="D22" s="218">
        <v>1</v>
      </c>
    </row>
    <row r="23" spans="1:4" ht="39" x14ac:dyDescent="0.3">
      <c r="A23" s="220" t="s">
        <v>257</v>
      </c>
      <c r="B23" s="221" t="s">
        <v>258</v>
      </c>
      <c r="C23" s="218">
        <v>0.75</v>
      </c>
      <c r="D23" s="218">
        <v>1</v>
      </c>
    </row>
    <row r="24" spans="1:4" x14ac:dyDescent="0.3">
      <c r="A24" s="220" t="s">
        <v>259</v>
      </c>
      <c r="B24" s="221" t="s">
        <v>260</v>
      </c>
      <c r="C24" s="218">
        <v>0.75</v>
      </c>
      <c r="D24" s="218">
        <v>1</v>
      </c>
    </row>
    <row r="25" spans="1:4" x14ac:dyDescent="0.3">
      <c r="A25" s="220" t="s">
        <v>261</v>
      </c>
      <c r="B25" s="221" t="s">
        <v>262</v>
      </c>
      <c r="C25" s="218">
        <v>0.75</v>
      </c>
      <c r="D25" s="218">
        <v>1</v>
      </c>
    </row>
    <row r="26" spans="1:4" x14ac:dyDescent="0.3">
      <c r="A26" s="220" t="s">
        <v>263</v>
      </c>
      <c r="B26" s="221" t="s">
        <v>264</v>
      </c>
      <c r="C26" s="218">
        <v>0.75</v>
      </c>
      <c r="D26" s="218">
        <v>1</v>
      </c>
    </row>
    <row r="27" spans="1:4" x14ac:dyDescent="0.3">
      <c r="A27" s="220" t="s">
        <v>265</v>
      </c>
      <c r="B27" s="221" t="s">
        <v>266</v>
      </c>
      <c r="C27" s="218">
        <v>0.75</v>
      </c>
      <c r="D27" s="218">
        <v>1</v>
      </c>
    </row>
    <row r="28" spans="1:4" x14ac:dyDescent="0.3">
      <c r="A28" s="220" t="s">
        <v>267</v>
      </c>
      <c r="B28" s="221" t="s">
        <v>268</v>
      </c>
      <c r="C28" s="218">
        <v>0.75</v>
      </c>
      <c r="D28" s="218">
        <v>1</v>
      </c>
    </row>
    <row r="29" spans="1:4" ht="26" x14ac:dyDescent="0.3">
      <c r="A29" s="220" t="s">
        <v>269</v>
      </c>
      <c r="B29" s="221" t="s">
        <v>270</v>
      </c>
      <c r="C29" s="218">
        <v>0.75</v>
      </c>
      <c r="D29" s="218">
        <v>1</v>
      </c>
    </row>
    <row r="30" spans="1:4" x14ac:dyDescent="0.3">
      <c r="A30" s="321" t="s">
        <v>161</v>
      </c>
      <c r="B30" s="321"/>
      <c r="C30" s="321"/>
      <c r="D30" s="321"/>
    </row>
    <row r="31" spans="1:4" ht="26" x14ac:dyDescent="0.3">
      <c r="A31" s="220" t="s">
        <v>271</v>
      </c>
      <c r="B31" s="221" t="s">
        <v>272</v>
      </c>
      <c r="C31" s="218">
        <v>0.75</v>
      </c>
      <c r="D31" s="218">
        <v>1</v>
      </c>
    </row>
    <row r="32" spans="1:4" x14ac:dyDescent="0.3">
      <c r="A32" s="321" t="s">
        <v>178</v>
      </c>
      <c r="B32" s="321"/>
      <c r="C32" s="321"/>
      <c r="D32" s="321"/>
    </row>
    <row r="33" spans="1:4" x14ac:dyDescent="0.3">
      <c r="A33" s="220" t="s">
        <v>273</v>
      </c>
      <c r="B33" s="221" t="s">
        <v>274</v>
      </c>
      <c r="C33" s="218">
        <v>0.75</v>
      </c>
      <c r="D33" s="218">
        <v>1</v>
      </c>
    </row>
    <row r="34" spans="1:4" x14ac:dyDescent="0.3">
      <c r="A34" s="220" t="s">
        <v>275</v>
      </c>
      <c r="B34" s="221" t="s">
        <v>276</v>
      </c>
      <c r="C34" s="218">
        <v>0.75</v>
      </c>
      <c r="D34" s="218">
        <v>1</v>
      </c>
    </row>
    <row r="35" spans="1:4" ht="26" x14ac:dyDescent="0.3">
      <c r="A35" s="220" t="s">
        <v>277</v>
      </c>
      <c r="B35" s="221" t="s">
        <v>278</v>
      </c>
      <c r="C35" s="218">
        <v>0.75</v>
      </c>
      <c r="D35" s="218">
        <v>1</v>
      </c>
    </row>
    <row r="36" spans="1:4" ht="26" x14ac:dyDescent="0.3">
      <c r="A36" s="220" t="s">
        <v>279</v>
      </c>
      <c r="B36" s="221" t="s">
        <v>280</v>
      </c>
      <c r="C36" s="218">
        <v>0.75</v>
      </c>
      <c r="D36" s="218">
        <v>1</v>
      </c>
    </row>
    <row r="37" spans="1:4" x14ac:dyDescent="0.3">
      <c r="A37" s="220" t="s">
        <v>281</v>
      </c>
      <c r="B37" s="221" t="s">
        <v>282</v>
      </c>
      <c r="C37" s="218">
        <v>0.75</v>
      </c>
      <c r="D37" s="218">
        <v>1</v>
      </c>
    </row>
    <row r="38" spans="1:4" x14ac:dyDescent="0.3">
      <c r="A38" s="321" t="s">
        <v>283</v>
      </c>
      <c r="B38" s="321"/>
      <c r="C38" s="321"/>
      <c r="D38" s="321"/>
    </row>
    <row r="39" spans="1:4" x14ac:dyDescent="0.3">
      <c r="A39" s="220" t="s">
        <v>284</v>
      </c>
      <c r="B39" s="221" t="s">
        <v>285</v>
      </c>
      <c r="C39" s="218">
        <v>0.75</v>
      </c>
      <c r="D39" s="218">
        <v>1</v>
      </c>
    </row>
    <row r="40" spans="1:4" x14ac:dyDescent="0.3">
      <c r="A40" s="220" t="s">
        <v>286</v>
      </c>
      <c r="B40" s="221" t="s">
        <v>287</v>
      </c>
      <c r="C40" s="218">
        <v>0.75</v>
      </c>
      <c r="D40" s="218">
        <v>1</v>
      </c>
    </row>
    <row r="41" spans="1:4" ht="26" x14ac:dyDescent="0.3">
      <c r="A41" s="220" t="s">
        <v>288</v>
      </c>
      <c r="B41" s="221" t="s">
        <v>289</v>
      </c>
      <c r="C41" s="218">
        <v>0.75</v>
      </c>
      <c r="D41" s="218">
        <v>1</v>
      </c>
    </row>
    <row r="42" spans="1:4" x14ac:dyDescent="0.3">
      <c r="A42" s="220" t="s">
        <v>290</v>
      </c>
      <c r="B42" s="221" t="s">
        <v>291</v>
      </c>
      <c r="C42" s="218">
        <v>0.75</v>
      </c>
      <c r="D42" s="218">
        <v>1</v>
      </c>
    </row>
    <row r="43" spans="1:4" ht="26" x14ac:dyDescent="0.3">
      <c r="A43" s="220" t="s">
        <v>292</v>
      </c>
      <c r="B43" s="221" t="s">
        <v>293</v>
      </c>
      <c r="C43" s="218">
        <v>0.75</v>
      </c>
      <c r="D43" s="218">
        <v>1</v>
      </c>
    </row>
    <row r="44" spans="1:4" ht="26" x14ac:dyDescent="0.3">
      <c r="A44" s="220" t="s">
        <v>294</v>
      </c>
      <c r="B44" s="221" t="s">
        <v>295</v>
      </c>
      <c r="C44" s="218">
        <v>0.75</v>
      </c>
      <c r="D44" s="218">
        <v>1</v>
      </c>
    </row>
    <row r="45" spans="1:4" x14ac:dyDescent="0.3">
      <c r="A45" s="321" t="s">
        <v>296</v>
      </c>
      <c r="B45" s="321"/>
      <c r="C45" s="321"/>
      <c r="D45" s="321"/>
    </row>
    <row r="46" spans="1:4" ht="26" x14ac:dyDescent="0.3">
      <c r="A46" s="220" t="s">
        <v>297</v>
      </c>
      <c r="B46" s="221" t="s">
        <v>298</v>
      </c>
      <c r="C46" s="218">
        <v>0.75</v>
      </c>
      <c r="D46" s="218">
        <v>1</v>
      </c>
    </row>
    <row r="47" spans="1:4" ht="39" x14ac:dyDescent="0.3">
      <c r="A47" s="220" t="s">
        <v>299</v>
      </c>
      <c r="B47" s="221" t="s">
        <v>300</v>
      </c>
      <c r="C47" s="218">
        <v>0.75</v>
      </c>
      <c r="D47" s="218">
        <v>1</v>
      </c>
    </row>
    <row r="48" spans="1:4" ht="39" x14ac:dyDescent="0.3">
      <c r="A48" s="220" t="s">
        <v>299</v>
      </c>
      <c r="B48" s="221" t="s">
        <v>300</v>
      </c>
      <c r="C48" s="218">
        <v>0.75</v>
      </c>
      <c r="D48" s="218">
        <v>1</v>
      </c>
    </row>
  </sheetData>
  <mergeCells count="9">
    <mergeCell ref="A32:D32"/>
    <mergeCell ref="A38:D38"/>
    <mergeCell ref="A45:D45"/>
    <mergeCell ref="D1:F1"/>
    <mergeCell ref="A6:C6"/>
    <mergeCell ref="A10:D10"/>
    <mergeCell ref="A17:D17"/>
    <mergeCell ref="A19:D19"/>
    <mergeCell ref="A30:D30"/>
  </mergeCells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20"/>
  <sheetViews>
    <sheetView topLeftCell="B1" workbookViewId="0">
      <selection activeCell="I1" sqref="I1:M1"/>
    </sheetView>
  </sheetViews>
  <sheetFormatPr defaultColWidth="8.7265625" defaultRowHeight="13" x14ac:dyDescent="0.3"/>
  <cols>
    <col min="1" max="1" width="36.26953125" style="16" customWidth="1"/>
    <col min="2" max="2" width="33.81640625" style="16" customWidth="1"/>
    <col min="3" max="3" width="14.81640625" style="16" customWidth="1"/>
    <col min="4" max="4" width="14.7265625" style="16" customWidth="1"/>
    <col min="5" max="5" width="16.81640625" style="16" customWidth="1"/>
    <col min="6" max="6" width="14.26953125" style="16" customWidth="1"/>
    <col min="7" max="7" width="13.1796875" style="16" customWidth="1"/>
    <col min="8" max="8" width="18.54296875" style="16" customWidth="1"/>
    <col min="9" max="9" width="13.1796875" style="16" customWidth="1"/>
    <col min="10" max="10" width="13.7265625" style="16" customWidth="1"/>
    <col min="11" max="11" width="17.54296875" style="16" customWidth="1"/>
    <col min="12" max="12" width="8.7265625" style="16" customWidth="1"/>
    <col min="13" max="16384" width="8.7265625" style="16"/>
  </cols>
  <sheetData>
    <row r="1" spans="1:13" ht="27.75" customHeight="1" x14ac:dyDescent="0.3">
      <c r="I1" s="304" t="s">
        <v>355</v>
      </c>
      <c r="J1" s="304"/>
      <c r="K1" s="304"/>
      <c r="L1" s="304"/>
      <c r="M1" s="304"/>
    </row>
    <row r="2" spans="1:13" x14ac:dyDescent="0.3">
      <c r="B2" s="323" t="s">
        <v>301</v>
      </c>
      <c r="C2" s="323"/>
      <c r="D2" s="323"/>
      <c r="E2" s="323"/>
      <c r="F2" s="323"/>
      <c r="G2" s="323"/>
      <c r="H2" s="323"/>
      <c r="I2" s="323"/>
    </row>
    <row r="3" spans="1:13" ht="65" x14ac:dyDescent="0.3">
      <c r="A3" s="121" t="s">
        <v>302</v>
      </c>
      <c r="B3" s="222" t="s">
        <v>132</v>
      </c>
      <c r="C3" s="19" t="s">
        <v>303</v>
      </c>
      <c r="D3" s="19" t="s">
        <v>304</v>
      </c>
      <c r="E3" s="223" t="s">
        <v>305</v>
      </c>
      <c r="F3" s="19" t="s">
        <v>306</v>
      </c>
      <c r="G3" s="19" t="s">
        <v>307</v>
      </c>
      <c r="H3" s="223" t="s">
        <v>308</v>
      </c>
      <c r="I3" s="19" t="s">
        <v>309</v>
      </c>
      <c r="J3" s="19" t="s">
        <v>310</v>
      </c>
      <c r="K3" s="223" t="s">
        <v>311</v>
      </c>
    </row>
    <row r="4" spans="1:13" ht="26" x14ac:dyDescent="0.3">
      <c r="A4" s="324" t="s">
        <v>8</v>
      </c>
      <c r="B4" s="224" t="s">
        <v>312</v>
      </c>
      <c r="C4" s="225"/>
      <c r="D4" s="225"/>
      <c r="E4" s="225"/>
      <c r="F4" s="225"/>
      <c r="G4" s="225"/>
      <c r="H4" s="225"/>
      <c r="I4" s="225"/>
      <c r="J4" s="225"/>
      <c r="K4" s="225"/>
    </row>
    <row r="5" spans="1:13" ht="26" x14ac:dyDescent="0.3">
      <c r="A5" s="324"/>
      <c r="B5" s="226" t="s">
        <v>313</v>
      </c>
      <c r="C5" s="227">
        <v>434</v>
      </c>
      <c r="D5" s="227">
        <v>3739.1590000000001</v>
      </c>
      <c r="E5" s="227">
        <f>C5*D5</f>
        <v>1622795.0060000001</v>
      </c>
      <c r="F5" s="227">
        <v>500</v>
      </c>
      <c r="G5" s="228">
        <v>3382.652</v>
      </c>
      <c r="H5" s="229">
        <f>G5*F5</f>
        <v>1691326</v>
      </c>
      <c r="I5" s="227">
        <v>500</v>
      </c>
      <c r="J5" s="228">
        <v>3382.652</v>
      </c>
      <c r="K5" s="227">
        <f>J5*I5</f>
        <v>1691326</v>
      </c>
    </row>
    <row r="6" spans="1:13" x14ac:dyDescent="0.3">
      <c r="A6" s="324"/>
      <c r="B6" s="230" t="s">
        <v>314</v>
      </c>
      <c r="C6" s="227"/>
      <c r="D6" s="36"/>
      <c r="E6" s="36"/>
      <c r="F6" s="36"/>
      <c r="G6" s="36"/>
      <c r="I6" s="33">
        <v>50</v>
      </c>
      <c r="J6" s="231">
        <v>4452.5</v>
      </c>
      <c r="K6" s="232">
        <f>I6*J6</f>
        <v>222625</v>
      </c>
    </row>
    <row r="7" spans="1:13" ht="39" x14ac:dyDescent="0.3">
      <c r="A7" s="324"/>
      <c r="B7" s="224" t="s">
        <v>315</v>
      </c>
      <c r="C7" s="233"/>
      <c r="D7" s="233"/>
      <c r="E7" s="233"/>
      <c r="F7" s="233"/>
      <c r="G7" s="233"/>
      <c r="H7" s="233"/>
      <c r="I7" s="233"/>
      <c r="J7" s="233"/>
      <c r="K7" s="233"/>
    </row>
    <row r="8" spans="1:13" ht="26" x14ac:dyDescent="0.3">
      <c r="A8" s="324"/>
      <c r="B8" s="226" t="s">
        <v>316</v>
      </c>
      <c r="C8" s="227">
        <v>75</v>
      </c>
      <c r="D8" s="227">
        <v>17004.746999999999</v>
      </c>
      <c r="E8" s="227">
        <f>C8*D8</f>
        <v>1275356.0249999999</v>
      </c>
      <c r="F8" s="227">
        <v>120</v>
      </c>
      <c r="G8" s="228">
        <v>20740.308000000001</v>
      </c>
      <c r="H8" s="227">
        <f>F8*G8</f>
        <v>2488836.96</v>
      </c>
      <c r="I8" s="227">
        <v>150</v>
      </c>
      <c r="J8" s="228">
        <v>19772.133000000002</v>
      </c>
      <c r="K8" s="227">
        <f>I8*J8</f>
        <v>2965819.95</v>
      </c>
    </row>
    <row r="9" spans="1:13" x14ac:dyDescent="0.3">
      <c r="A9" s="324"/>
      <c r="B9" s="230" t="s">
        <v>317</v>
      </c>
      <c r="C9" s="227"/>
      <c r="D9" s="36"/>
      <c r="E9" s="36"/>
      <c r="F9" s="33">
        <v>100</v>
      </c>
      <c r="G9" s="232">
        <v>1009.09</v>
      </c>
      <c r="H9" s="232">
        <f>G9*F9</f>
        <v>100909</v>
      </c>
      <c r="I9" s="234">
        <v>150</v>
      </c>
      <c r="J9" s="232">
        <v>1009.09</v>
      </c>
      <c r="K9" s="234">
        <f>I9*J9</f>
        <v>151363.5</v>
      </c>
    </row>
    <row r="10" spans="1:13" ht="26" x14ac:dyDescent="0.3">
      <c r="A10" s="324"/>
      <c r="B10" s="230" t="s">
        <v>318</v>
      </c>
      <c r="C10" s="227"/>
      <c r="D10" s="36"/>
      <c r="E10" s="36"/>
      <c r="F10" s="33">
        <v>100</v>
      </c>
      <c r="G10" s="232">
        <v>2496.33</v>
      </c>
      <c r="H10" s="232">
        <f>F10*G10</f>
        <v>249633</v>
      </c>
      <c r="I10" s="234">
        <v>150</v>
      </c>
      <c r="J10" s="232">
        <v>2496.33</v>
      </c>
      <c r="K10" s="234">
        <f>I10*J10</f>
        <v>374449.5</v>
      </c>
    </row>
    <row r="11" spans="1:13" ht="39" x14ac:dyDescent="0.3">
      <c r="A11" s="324"/>
      <c r="B11" s="224" t="s">
        <v>319</v>
      </c>
      <c r="C11" s="233"/>
      <c r="D11" s="233"/>
      <c r="E11" s="233"/>
      <c r="F11" s="233"/>
      <c r="G11" s="233"/>
      <c r="H11" s="233"/>
      <c r="I11" s="233"/>
      <c r="J11" s="233"/>
      <c r="K11" s="233"/>
    </row>
    <row r="12" spans="1:13" x14ac:dyDescent="0.3">
      <c r="A12" s="324"/>
      <c r="B12" s="226" t="s">
        <v>320</v>
      </c>
      <c r="C12" s="227">
        <v>1723</v>
      </c>
      <c r="D12" s="227">
        <v>14.5091</v>
      </c>
      <c r="E12" s="227">
        <f>C12*D12</f>
        <v>24999.1793</v>
      </c>
      <c r="F12" s="227">
        <v>1800</v>
      </c>
      <c r="G12" s="235">
        <v>14.509</v>
      </c>
      <c r="H12" s="227">
        <f>F12*G12</f>
        <v>26116.2</v>
      </c>
      <c r="I12" s="227">
        <v>1850</v>
      </c>
      <c r="J12" s="235">
        <v>14.509</v>
      </c>
      <c r="K12" s="227">
        <f>I12*J12</f>
        <v>26841.65</v>
      </c>
    </row>
    <row r="13" spans="1:13" x14ac:dyDescent="0.3">
      <c r="A13" s="324"/>
      <c r="B13" s="226" t="s">
        <v>321</v>
      </c>
      <c r="C13" s="227">
        <v>600</v>
      </c>
      <c r="D13" s="227">
        <v>464.05</v>
      </c>
      <c r="E13" s="227">
        <f>C13*D13</f>
        <v>278430</v>
      </c>
      <c r="F13" s="227">
        <v>700</v>
      </c>
      <c r="G13" s="235">
        <v>464.05</v>
      </c>
      <c r="H13" s="227">
        <f>F13*G13</f>
        <v>324835</v>
      </c>
      <c r="I13" s="227">
        <v>800</v>
      </c>
      <c r="J13" s="236">
        <v>464.05</v>
      </c>
      <c r="K13" s="227">
        <f>I13*J13</f>
        <v>371240</v>
      </c>
    </row>
    <row r="14" spans="1:13" x14ac:dyDescent="0.3">
      <c r="A14" s="324"/>
      <c r="B14" s="237" t="s">
        <v>322</v>
      </c>
      <c r="C14" s="238"/>
      <c r="D14" s="238"/>
      <c r="E14" s="29"/>
      <c r="F14" s="29"/>
      <c r="G14" s="29"/>
      <c r="H14" s="238"/>
      <c r="I14" s="238"/>
      <c r="J14" s="238"/>
      <c r="K14" s="238"/>
    </row>
    <row r="15" spans="1:13" ht="39" x14ac:dyDescent="0.3">
      <c r="A15" s="324"/>
      <c r="B15" s="239" t="s">
        <v>323</v>
      </c>
      <c r="C15" s="227"/>
      <c r="D15" s="36"/>
      <c r="E15" s="36"/>
      <c r="F15" s="25"/>
      <c r="G15" s="36"/>
      <c r="H15" s="33"/>
      <c r="I15" s="240">
        <v>100</v>
      </c>
      <c r="J15" s="232">
        <v>122.72</v>
      </c>
      <c r="K15" s="232">
        <f>I15*J15</f>
        <v>12272</v>
      </c>
    </row>
    <row r="16" spans="1:13" x14ac:dyDescent="0.3">
      <c r="A16" s="324"/>
      <c r="B16" s="237" t="s">
        <v>324</v>
      </c>
      <c r="C16" s="29"/>
      <c r="D16" s="29"/>
      <c r="E16" s="29"/>
      <c r="F16" s="29"/>
      <c r="G16" s="29"/>
      <c r="H16" s="238"/>
      <c r="I16" s="29"/>
      <c r="J16" s="29"/>
      <c r="K16" s="30"/>
    </row>
    <row r="17" spans="1:11" x14ac:dyDescent="0.3">
      <c r="A17" s="324"/>
      <c r="B17" s="241" t="s">
        <v>325</v>
      </c>
      <c r="C17" s="182"/>
      <c r="D17" s="28"/>
      <c r="E17" s="28"/>
      <c r="F17" s="28"/>
      <c r="G17" s="36"/>
      <c r="H17" s="232">
        <v>383794</v>
      </c>
      <c r="I17" s="28"/>
      <c r="J17" s="36"/>
      <c r="K17" s="242">
        <v>383794</v>
      </c>
    </row>
    <row r="18" spans="1:11" x14ac:dyDescent="0.3">
      <c r="A18" s="324"/>
      <c r="B18" s="243" t="s">
        <v>214</v>
      </c>
      <c r="C18" s="244">
        <f>C13+C12+C8+C5</f>
        <v>2832</v>
      </c>
      <c r="D18" s="245"/>
      <c r="E18" s="246">
        <f>E5+E8+E12+E13</f>
        <v>3201580.2102999999</v>
      </c>
      <c r="F18" s="245">
        <f>F5+F8+F9+F10+F12+F13</f>
        <v>3320</v>
      </c>
      <c r="G18" s="36"/>
      <c r="H18" s="246">
        <f>H5+H8+H9+H10+H12+H13+H17</f>
        <v>5265450.16</v>
      </c>
      <c r="I18" s="245">
        <f>I5+I6+I8+I9+I10+I12+I13+I15</f>
        <v>3750</v>
      </c>
      <c r="J18" s="36"/>
      <c r="K18" s="246">
        <f>K5+K6+K8+K9+K10+K12+K13+K15+K17</f>
        <v>6199731.6000000006</v>
      </c>
    </row>
    <row r="20" spans="1:11" x14ac:dyDescent="0.3">
      <c r="E20" s="197"/>
    </row>
  </sheetData>
  <mergeCells count="3">
    <mergeCell ref="I1:M1"/>
    <mergeCell ref="B2:I2"/>
    <mergeCell ref="A4:A18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12"/>
  <sheetViews>
    <sheetView workbookViewId="0">
      <selection activeCell="D21" sqref="D21"/>
    </sheetView>
  </sheetViews>
  <sheetFormatPr defaultColWidth="8.7265625" defaultRowHeight="13" x14ac:dyDescent="0.3"/>
  <cols>
    <col min="1" max="1" width="26.453125" style="16" customWidth="1"/>
    <col min="2" max="2" width="14.54296875" style="16" customWidth="1"/>
    <col min="3" max="3" width="12.26953125" style="16" customWidth="1"/>
    <col min="4" max="4" width="19.453125" style="16" customWidth="1"/>
    <col min="5" max="6" width="12.81640625" style="16" customWidth="1"/>
    <col min="7" max="7" width="14.81640625" style="16" customWidth="1"/>
    <col min="8" max="8" width="13.54296875" style="16" customWidth="1"/>
    <col min="9" max="9" width="11.453125" style="16" customWidth="1"/>
    <col min="10" max="10" width="11.7265625" style="16" bestFit="1" customWidth="1"/>
    <col min="11" max="11" width="8.7265625" style="16" customWidth="1"/>
    <col min="12" max="16384" width="8.7265625" style="16"/>
  </cols>
  <sheetData>
    <row r="1" spans="1:10" s="108" customFormat="1" x14ac:dyDescent="0.3">
      <c r="A1" s="16"/>
      <c r="B1" s="16"/>
      <c r="C1" s="16"/>
      <c r="D1" s="16"/>
      <c r="E1" s="16"/>
      <c r="F1" s="16"/>
      <c r="G1" s="279" t="s">
        <v>356</v>
      </c>
      <c r="H1" s="279"/>
      <c r="I1" s="279"/>
      <c r="J1" s="279"/>
    </row>
    <row r="2" spans="1:10" customFormat="1" ht="14.5" x14ac:dyDescent="0.35">
      <c r="A2" s="109" t="s">
        <v>326</v>
      </c>
      <c r="B2" s="16"/>
      <c r="C2" s="16"/>
      <c r="D2" s="16"/>
      <c r="E2" s="194"/>
      <c r="F2" s="194"/>
      <c r="G2" s="194"/>
      <c r="H2" s="194"/>
      <c r="I2" s="194"/>
      <c r="J2" s="194"/>
    </row>
    <row r="3" spans="1:10" customFormat="1" ht="14.5" x14ac:dyDescent="0.35">
      <c r="A3" s="109"/>
      <c r="B3" s="325" t="s">
        <v>215</v>
      </c>
      <c r="C3" s="325"/>
      <c r="D3" s="325"/>
      <c r="E3" s="293" t="s">
        <v>216</v>
      </c>
      <c r="F3" s="293"/>
      <c r="G3" s="293"/>
      <c r="H3" s="293" t="s">
        <v>327</v>
      </c>
      <c r="I3" s="293"/>
      <c r="J3" s="293"/>
    </row>
    <row r="4" spans="1:10" customFormat="1" ht="63.75" customHeight="1" x14ac:dyDescent="0.35">
      <c r="A4" s="18" t="s">
        <v>61</v>
      </c>
      <c r="B4" s="173" t="s">
        <v>62</v>
      </c>
      <c r="C4" s="173" t="s">
        <v>328</v>
      </c>
      <c r="D4" s="173" t="s">
        <v>63</v>
      </c>
      <c r="E4" s="173" t="s">
        <v>64</v>
      </c>
      <c r="F4" s="173" t="s">
        <v>329</v>
      </c>
      <c r="G4" s="173" t="s">
        <v>330</v>
      </c>
      <c r="H4" s="173" t="s">
        <v>66</v>
      </c>
      <c r="I4" s="173" t="s">
        <v>331</v>
      </c>
      <c r="J4" s="173" t="s">
        <v>332</v>
      </c>
    </row>
    <row r="5" spans="1:10" customFormat="1" ht="14.5" x14ac:dyDescent="0.35">
      <c r="A5" s="247" t="s">
        <v>333</v>
      </c>
      <c r="B5" s="248">
        <v>180</v>
      </c>
      <c r="C5" s="249">
        <v>19881.75</v>
      </c>
      <c r="D5" s="249">
        <f>B5*C5</f>
        <v>3578715</v>
      </c>
      <c r="E5" s="249">
        <v>200</v>
      </c>
      <c r="F5" s="249">
        <v>19881.75</v>
      </c>
      <c r="G5" s="249">
        <f>E5*F5</f>
        <v>3976350</v>
      </c>
      <c r="H5" s="249">
        <v>250</v>
      </c>
      <c r="I5" s="249">
        <v>19881.75</v>
      </c>
      <c r="J5" s="249">
        <f>H5*I5</f>
        <v>4970437.5</v>
      </c>
    </row>
    <row r="6" spans="1:10" customFormat="1" ht="14.5" x14ac:dyDescent="0.35">
      <c r="A6" s="250" t="s">
        <v>334</v>
      </c>
      <c r="B6" s="251">
        <v>438</v>
      </c>
      <c r="C6" s="252">
        <v>1163.57</v>
      </c>
      <c r="D6" s="249">
        <f>B6*C6</f>
        <v>509643.66</v>
      </c>
      <c r="E6" s="253">
        <v>30622</v>
      </c>
      <c r="F6" s="253">
        <v>84.516949999999994</v>
      </c>
      <c r="G6" s="249">
        <f>E6*F6</f>
        <v>2588078.0428999998</v>
      </c>
      <c r="H6" s="253">
        <v>30662</v>
      </c>
      <c r="I6" s="253">
        <v>92.636970000000005</v>
      </c>
      <c r="J6" s="249">
        <f>H6*I6</f>
        <v>2840434.7741400003</v>
      </c>
    </row>
    <row r="7" spans="1:10" s="108" customFormat="1" ht="12.75" customHeight="1" x14ac:dyDescent="0.3">
      <c r="A7" s="254" t="s">
        <v>202</v>
      </c>
      <c r="B7" s="255">
        <v>20013</v>
      </c>
      <c r="C7" s="253">
        <v>250.3844</v>
      </c>
      <c r="D7" s="249">
        <f>B7*C7</f>
        <v>5010942.9972000001</v>
      </c>
      <c r="E7" s="253">
        <v>24909</v>
      </c>
      <c r="F7" s="253">
        <v>307.7946</v>
      </c>
      <c r="G7" s="249">
        <f>E7*F7</f>
        <v>7666855.6913999999</v>
      </c>
      <c r="H7" s="253">
        <v>27178</v>
      </c>
      <c r="I7" s="253">
        <v>311.33109000000002</v>
      </c>
      <c r="J7" s="249">
        <f>H7*I7</f>
        <v>8461356.3640200011</v>
      </c>
    </row>
    <row r="8" spans="1:10" s="108" customFormat="1" ht="12.75" customHeight="1" x14ac:dyDescent="0.3">
      <c r="A8" s="254" t="s">
        <v>335</v>
      </c>
      <c r="B8" s="248">
        <v>10</v>
      </c>
      <c r="C8" s="248">
        <v>4530</v>
      </c>
      <c r="D8" s="248">
        <f>B8*C8</f>
        <v>45300</v>
      </c>
      <c r="E8" s="248">
        <v>13</v>
      </c>
      <c r="F8" s="248">
        <v>4530</v>
      </c>
      <c r="G8" s="248">
        <f>E8*F8</f>
        <v>58890</v>
      </c>
      <c r="H8" s="248">
        <v>15</v>
      </c>
      <c r="I8" s="248">
        <v>4530</v>
      </c>
      <c r="J8" s="248">
        <f>H8*I8</f>
        <v>67950</v>
      </c>
    </row>
    <row r="9" spans="1:10" s="108" customFormat="1" ht="12.75" customHeight="1" x14ac:dyDescent="0.3">
      <c r="A9" s="109"/>
      <c r="B9" s="256">
        <f>B5+B6+B7+B8</f>
        <v>20641</v>
      </c>
      <c r="C9" s="256"/>
      <c r="D9" s="257">
        <f>D5+D6+D7+D8</f>
        <v>9144601.6572000012</v>
      </c>
      <c r="E9" s="256">
        <f>E5+E6+E7+E8</f>
        <v>55744</v>
      </c>
      <c r="F9" s="256"/>
      <c r="G9" s="257">
        <f>G5+G6+G7+G8</f>
        <v>14290173.734299999</v>
      </c>
      <c r="H9" s="256">
        <f>H5+H6+H7+H8</f>
        <v>58105</v>
      </c>
      <c r="I9" s="256"/>
      <c r="J9" s="257">
        <f>J5+J6+J7+J8</f>
        <v>16340178.638160001</v>
      </c>
    </row>
    <row r="10" spans="1:10" s="108" customFormat="1" ht="12.75" customHeight="1" x14ac:dyDescent="0.3">
      <c r="A10" s="109"/>
      <c r="B10" s="258"/>
      <c r="C10" s="258"/>
      <c r="D10" s="259" t="s">
        <v>215</v>
      </c>
      <c r="E10" s="194"/>
      <c r="F10" s="194"/>
      <c r="G10" s="259" t="s">
        <v>216</v>
      </c>
      <c r="H10" s="194"/>
      <c r="I10" s="194"/>
      <c r="J10" s="131" t="s">
        <v>217</v>
      </c>
    </row>
    <row r="11" spans="1:10" customFormat="1" ht="14.5" x14ac:dyDescent="0.35">
      <c r="A11" s="109"/>
      <c r="B11" s="258"/>
      <c r="C11" s="258"/>
      <c r="D11" s="16"/>
      <c r="E11" s="194"/>
      <c r="F11" s="194"/>
      <c r="G11" s="194"/>
      <c r="H11" s="194"/>
      <c r="I11" s="194"/>
      <c r="J11" s="194"/>
    </row>
    <row r="12" spans="1:10" customFormat="1" ht="14.5" x14ac:dyDescent="0.35">
      <c r="A12" s="16"/>
      <c r="B12" s="16"/>
      <c r="C12" s="16"/>
      <c r="D12" s="260"/>
      <c r="E12" s="194"/>
      <c r="F12" s="194"/>
      <c r="G12" s="194"/>
      <c r="H12" s="194"/>
      <c r="I12" s="194"/>
      <c r="J12" s="194"/>
    </row>
  </sheetData>
  <mergeCells count="4">
    <mergeCell ref="G1:J1"/>
    <mergeCell ref="B3:D3"/>
    <mergeCell ref="E3:G3"/>
    <mergeCell ref="H3:J3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12</vt:i4>
      </vt:variant>
    </vt:vector>
  </HeadingPairs>
  <TitlesOfParts>
    <vt:vector size="12" baseType="lpstr">
      <vt:lpstr>Kopsavilkums</vt:lpstr>
      <vt:lpstr>3p_pielikums</vt:lpstr>
      <vt:lpstr>4p_kopsavilkums</vt:lpstr>
      <vt:lpstr>4p_pielikums_Nr1</vt:lpstr>
      <vt:lpstr>4p_pielikums_Nr2</vt:lpstr>
      <vt:lpstr>4p_pielikums_Nr3</vt:lpstr>
      <vt:lpstr>4p_pielikums_Nr4</vt:lpstr>
      <vt:lpstr>4p_pielikums_Nr5</vt:lpstr>
      <vt:lpstr>4p_pielikums_Nr6</vt:lpstr>
      <vt:lpstr>4p_pielikums_Nr7</vt:lpstr>
      <vt:lpstr>4p_pielikums_Nr8</vt:lpstr>
      <vt:lpstr>4p_pielikums_Nr9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Ivita Lazdiņa</dc:creator>
  <cp:lastModifiedBy>Artūrs Grīgs</cp:lastModifiedBy>
  <dcterms:created xsi:type="dcterms:W3CDTF">2022-09-05T10:22:30Z</dcterms:created>
  <dcterms:modified xsi:type="dcterms:W3CDTF">2022-09-29T04:55:13Z</dcterms:modified>
</cp:coreProperties>
</file>