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Kornenkova\My Documents\Informatīvie ziņojumi\Covid-19_sekas\"/>
    </mc:Choice>
  </mc:AlternateContent>
  <xr:revisionPtr revIDLastSave="0" documentId="8_{C6DAF726-D5AA-473A-8B03-D48DB680FBD4}" xr6:coauthVersionLast="47" xr6:coauthVersionMax="47" xr10:uidLastSave="{00000000-0000-0000-0000-000000000000}"/>
  <bookViews>
    <workbookView xWindow="-110" yWindow="-110" windowWidth="19420" windowHeight="10420" tabRatio="934" xr2:uid="{33C0D9CD-EFDD-463D-8098-2ED9D3B0C046}"/>
  </bookViews>
  <sheets>
    <sheet name="Kopā" sheetId="61" r:id="rId1"/>
    <sheet name="1.2. Testēšana" sheetId="57" r:id="rId2"/>
    <sheet name="1.3. Rehabilitācija" sheetId="3" r:id="rId3"/>
    <sheet name="1.4.Dinamiska novērošana" sheetId="60" r:id="rId4"/>
    <sheet name="1.5.Epid.drošība +IAL" sheetId="3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_2_d_NMP_lim" localSheetId="1">#REF!</definedName>
    <definedName name="_1_2_d_NMP_lim" localSheetId="3">#REF!</definedName>
    <definedName name="_1_2_d_NMP_lim">#REF!</definedName>
    <definedName name="aa" localSheetId="1">#REF!</definedName>
    <definedName name="aa" localSheetId="3">#REF!</definedName>
    <definedName name="aa">#REF!</definedName>
    <definedName name="_xlnm.Auto_Open" localSheetId="1">#REF!</definedName>
    <definedName name="_xlnm.Auto_Open" localSheetId="3">#REF!</definedName>
    <definedName name="_xlnm.Auto_Open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1">#REF!</definedName>
    <definedName name="bt" localSheetId="3">#REF!</definedName>
    <definedName name="bt">#REF!</definedName>
    <definedName name="BX" localSheetId="1">#REF!</definedName>
    <definedName name="BX" localSheetId="3">#REF!</definedName>
    <definedName name="BX">#REF!</definedName>
    <definedName name="CalendarYear" localSheetId="1">#REF!</definedName>
    <definedName name="CalendarYear" localSheetId="3">#REF!</definedName>
    <definedName name="CalendarYear">#REF!</definedName>
    <definedName name="ccc">#REF!</definedName>
    <definedName name="d">#REF!</definedName>
    <definedName name="D_Evija3">#REF!</definedName>
    <definedName name="DaysAndWeeks" localSheetId="1">{0,1,2,3,4,5,6} + {0;1;2;3;4;5}*7</definedName>
    <definedName name="DaysAndWeeks" localSheetId="3">{0,1,2,3,4,5,6} + {0;1;2;3;4;5}*7</definedName>
    <definedName name="DaysAndWeeks" localSheetId="0">{0,1,2,3,4,5,6} + {0;1;2;3;4;5}*7</definedName>
    <definedName name="DaysAndWeeks">{0,1,2,3,4,5,6} + {0;1;2;3;4;5}*7</definedName>
    <definedName name="de" localSheetId="1">#REF!</definedName>
    <definedName name="de" localSheetId="3">#REF!</definedName>
    <definedName name="de">#REF!</definedName>
    <definedName name="dff">#NAME?</definedName>
    <definedName name="DRGNAMES" localSheetId="1">#REF!</definedName>
    <definedName name="DRGNAMES" localSheetId="3">#REF!</definedName>
    <definedName name="DRGNAMES">#REF!</definedName>
    <definedName name="e" localSheetId="1">#REF!</definedName>
    <definedName name="e" localSheetId="3">#REF!</definedName>
    <definedName name="e">#REF!</definedName>
    <definedName name="ee" localSheetId="1">#REF!</definedName>
    <definedName name="ee" localSheetId="3">#REF!</definedName>
    <definedName name="ee">#REF!</definedName>
    <definedName name="Excel_BuiltIn__FilterDatabase_2">#REF!</definedName>
    <definedName name="Excel_BuiltIn__FilterDatabase_3">#REF!</definedName>
    <definedName name="Excel_BuiltIn_Print_Titles_2">#REF!</definedName>
    <definedName name="Excel_BuiltIn_Print_Titles_3">#REF!</definedName>
    <definedName name="gad_skaits">#REF!</definedName>
    <definedName name="gad_skaits_1">#REF!</definedName>
    <definedName name="gala" localSheetId="1">{0,1,2,3,4,5,6} + {0;1;2;3;4;5}*7</definedName>
    <definedName name="gala" localSheetId="3">{0,1,2,3,4,5,6} + {0;1;2;3;4;5}*7</definedName>
    <definedName name="gala" localSheetId="0">{0,1,2,3,4,5,6} + {0;1;2;3;4;5}*7</definedName>
    <definedName name="gala">{0,1,2,3,4,5,6} + {0;1;2;3;4;5}*7</definedName>
    <definedName name="Gala_kopsavilkums">#REF!</definedName>
    <definedName name="gggg" localSheetId="1">#REF!</definedName>
    <definedName name="gggg" localSheetId="3">#REF!</definedName>
    <definedName name="gggg">#REF!</definedName>
    <definedName name="ghy" localSheetId="1">#REF!</definedName>
    <definedName name="ghy" localSheetId="3">#REF!</definedName>
    <definedName name="ghy">#REF!</definedName>
    <definedName name="h">#REF!</definedName>
    <definedName name="hh">#REF!</definedName>
    <definedName name="hjh">#REF!</definedName>
    <definedName name="hyh">#REF!</definedName>
    <definedName name="i">#REF!</definedName>
    <definedName name="izm.kods">#REF!</definedName>
    <definedName name="izm.kods_1">[2]izm.posteni!$A$2:$A$216</definedName>
    <definedName name="izm.nos" localSheetId="1">#REF!</definedName>
    <definedName name="izm.nos" localSheetId="3">#REF!</definedName>
    <definedName name="izm.nos">#REF!</definedName>
    <definedName name="izm.nos_1">[2]izm.posteni!$B$2:$B$216</definedName>
    <definedName name="jhg" localSheetId="1">#REF!</definedName>
    <definedName name="jhg" localSheetId="3">#REF!</definedName>
    <definedName name="jhg">#REF!</definedName>
    <definedName name="kk" localSheetId="1">#REF!</definedName>
    <definedName name="kk" localSheetId="3">#REF!</definedName>
    <definedName name="kk">#REF!</definedName>
    <definedName name="l" localSheetId="1">#REF!</definedName>
    <definedName name="l" localSheetId="3">#REF!</definedName>
    <definedName name="l">#REF!</definedName>
    <definedName name="Limeni_7_9group">#REF!</definedName>
    <definedName name="Macro1">#REF!</definedName>
    <definedName name="Macro2">#REF!</definedName>
    <definedName name="Macro3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mm" hidden="1">[1]ZQZBC_PLN__04_03_10!#REF!</definedName>
    <definedName name="n" localSheetId="1">#REF!</definedName>
    <definedName name="n" localSheetId="3">#REF!</definedName>
    <definedName name="n">#REF!</definedName>
    <definedName name="P_Dati_rikojums" localSheetId="1">#REF!</definedName>
    <definedName name="P_Dati_rikojums" localSheetId="3">#REF!</definedName>
    <definedName name="P_Dati_rikojums">#REF!</definedName>
    <definedName name="pp" localSheetId="1">#REF!</definedName>
    <definedName name="pp" localSheetId="3">#REF!</definedName>
    <definedName name="pp">#REF!</definedName>
    <definedName name="_xlnm.Print_Area" localSheetId="4">'1.5.Epid.drošība +IAL'!$A$1:$E$38</definedName>
    <definedName name="Recover">[3]Macro1!$A$80</definedName>
    <definedName name="Rikojums2222">[4]Macro1!$A$106</definedName>
    <definedName name="rr" localSheetId="1">#REF!</definedName>
    <definedName name="rr" localSheetId="3">#REF!</definedName>
    <definedName name="rr">#REF!</definedName>
    <definedName name="rt" localSheetId="1">#REF!</definedName>
    <definedName name="rt" localSheetId="3">#REF!</definedName>
    <definedName name="rt">#REF!</definedName>
    <definedName name="rty" localSheetId="1">#REF!</definedName>
    <definedName name="rty" localSheetId="3">#REF!</definedName>
    <definedName name="rty">#REF!</definedName>
    <definedName name="S5\">#REF!</definedName>
    <definedName name="ss">#REF!</definedName>
    <definedName name="Str.">#REF!</definedName>
    <definedName name="Str.vien.nos.">#REF!</definedName>
    <definedName name="Struktura">#REF!</definedName>
    <definedName name="Struktūrvien.kodi2">#REF!</definedName>
    <definedName name="Struktūrvien.kodi2_1">[2]strukturkodi!$B$2:$B$232</definedName>
    <definedName name="Struktūrvien.kods" localSheetId="1">#REF!</definedName>
    <definedName name="Struktūrvien.kods" localSheetId="3">#REF!</definedName>
    <definedName name="Struktūrvien.kods">#REF!</definedName>
    <definedName name="Struktūrvien.kods_1">[2]strukturkodi!$A$2:$A$232</definedName>
    <definedName name="T13l6" localSheetId="1">[5]ATSKAITE_2v!#REF!</definedName>
    <definedName name="T13l6" localSheetId="3">[5]ATSKAITE_2v!#REF!</definedName>
    <definedName name="T13l6">[5]ATSKAITE_2v!#REF!</definedName>
    <definedName name="TableName">"Dummy"</definedName>
    <definedName name="Tarifs_28">#REF!</definedName>
    <definedName name="TWO_LINKS">'[6]8.1.'!$C$5</definedName>
    <definedName name="ty" localSheetId="1">#REF!</definedName>
    <definedName name="ty" localSheetId="3">#REF!</definedName>
    <definedName name="ty">#REF!</definedName>
    <definedName name="tyuj" localSheetId="1">#REF!</definedName>
    <definedName name="tyuj" localSheetId="3">#REF!</definedName>
    <definedName name="tyuj">#REF!</definedName>
    <definedName name="u" localSheetId="1">#REF!</definedName>
    <definedName name="u" localSheetId="3">#REF!</definedName>
    <definedName name="u">#REF!</definedName>
    <definedName name="U_N_A">#REF!</definedName>
    <definedName name="wedr">#REF!</definedName>
    <definedName name="WeekStart">#REF!</definedName>
    <definedName name="x">#REF!</definedName>
    <definedName name="XBD">[7]Dati!$B$6</definedName>
    <definedName name="XDD">[7]Dati!$B$4</definedName>
    <definedName name="XDS">[7]Dati!$B$5</definedName>
    <definedName name="XSVD">[7]Dati!$B$7</definedName>
    <definedName name="xxxx" localSheetId="1">#REF!</definedName>
    <definedName name="xxxx" localSheetId="3">#REF!</definedName>
    <definedName name="xxxx">#REF!</definedName>
    <definedName name="yuh" localSheetId="1">#REF!</definedName>
    <definedName name="yuh" localSheetId="3">#REF!</definedName>
    <definedName name="yuh">#REF!</definedName>
    <definedName name="yyyy" localSheetId="1">#REF!</definedName>
    <definedName name="yyyy" localSheetId="3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1" i="60" l="1"/>
  <c r="C12" i="61" s="1"/>
  <c r="E9" i="61"/>
  <c r="D13" i="61"/>
  <c r="D12" i="61"/>
  <c r="D11" i="61"/>
  <c r="D9" i="61"/>
  <c r="C13" i="61"/>
  <c r="C11" i="61"/>
  <c r="C9" i="61"/>
  <c r="H18" i="3"/>
  <c r="E13" i="61" l="1"/>
  <c r="D14" i="61"/>
  <c r="E11" i="61"/>
  <c r="E12" i="61"/>
  <c r="C14" i="61"/>
  <c r="E37" i="36"/>
  <c r="E14" i="61" l="1"/>
  <c r="E47" i="57"/>
  <c r="E44" i="57"/>
  <c r="E43" i="57"/>
  <c r="E32" i="57"/>
  <c r="E33" i="57"/>
  <c r="E34" i="57"/>
  <c r="E35" i="57"/>
  <c r="E36" i="57"/>
  <c r="E37" i="57"/>
  <c r="E38" i="57"/>
  <c r="E39" i="57"/>
  <c r="E40" i="57"/>
  <c r="E31" i="57"/>
  <c r="E27" i="57"/>
  <c r="E28" i="57"/>
  <c r="E26" i="57"/>
  <c r="E19" i="57"/>
  <c r="E20" i="57"/>
  <c r="E21" i="57"/>
  <c r="E22" i="57"/>
  <c r="E23" i="57"/>
  <c r="E18" i="57"/>
  <c r="E9" i="57"/>
  <c r="E10" i="57"/>
  <c r="E11" i="57"/>
  <c r="E12" i="57"/>
  <c r="E13" i="57"/>
  <c r="E14" i="57"/>
  <c r="E15" i="57"/>
  <c r="E8" i="57"/>
  <c r="B6" i="60"/>
  <c r="B9" i="60" s="1"/>
  <c r="E28" i="36"/>
  <c r="E6" i="36"/>
  <c r="E35" i="36"/>
  <c r="E32" i="36"/>
  <c r="E29" i="36"/>
  <c r="E27" i="36"/>
  <c r="E36" i="36"/>
  <c r="C36" i="36"/>
  <c r="G7" i="3" l="1"/>
  <c r="G8" i="3"/>
  <c r="G9" i="3"/>
  <c r="G6" i="3"/>
  <c r="G15" i="3"/>
  <c r="E16" i="57" l="1"/>
  <c r="C43" i="57"/>
  <c r="E41" i="57"/>
  <c r="C26" i="57"/>
  <c r="E29" i="57" s="1"/>
  <c r="C23" i="57"/>
  <c r="C22" i="57"/>
  <c r="C21" i="57"/>
  <c r="C20" i="57"/>
  <c r="C19" i="57"/>
  <c r="C18" i="57"/>
  <c r="E24" i="57" s="1"/>
  <c r="C14" i="57"/>
  <c r="C13" i="57"/>
  <c r="C12" i="57"/>
  <c r="C10" i="57"/>
  <c r="C8" i="57"/>
  <c r="E45" i="57" l="1"/>
  <c r="G16" i="3"/>
  <c r="E16" i="3"/>
  <c r="E15" i="3"/>
  <c r="F15" i="3" s="1"/>
  <c r="E6" i="3"/>
  <c r="F6" i="3" s="1"/>
  <c r="C28" i="36" l="1"/>
  <c r="E19" i="36" l="1"/>
  <c r="E18" i="36"/>
  <c r="E16" i="36"/>
  <c r="E15" i="36"/>
  <c r="E14" i="36"/>
  <c r="E13" i="36"/>
  <c r="E12" i="36"/>
  <c r="E9" i="36"/>
  <c r="E8" i="36"/>
  <c r="E7" i="36"/>
  <c r="E10" i="36" l="1"/>
  <c r="E17" i="36"/>
  <c r="E20" i="36"/>
  <c r="H16" i="3" l="1"/>
  <c r="F16" i="3"/>
  <c r="F17" i="3" s="1"/>
  <c r="H15" i="3"/>
  <c r="E9" i="3"/>
  <c r="F9" i="3" s="1"/>
  <c r="E8" i="3"/>
  <c r="E7" i="3"/>
  <c r="F7" i="3" s="1"/>
  <c r="H17" i="3" l="1"/>
  <c r="H8" i="3"/>
  <c r="H9" i="3"/>
  <c r="H7" i="3"/>
  <c r="F8" i="3"/>
  <c r="F10" i="3" s="1"/>
  <c r="H6" i="3"/>
  <c r="H10" i="3" l="1"/>
</calcChain>
</file>

<file path=xl/sharedStrings.xml><?xml version="1.0" encoding="utf-8"?>
<sst xmlns="http://schemas.openxmlformats.org/spreadsheetml/2006/main" count="159" uniqueCount="128">
  <si>
    <t>SARS-CoV-2 RNS (COVID-19) noteikšana ar reālā laika PĶR (bez parauga paņemšanas)</t>
  </si>
  <si>
    <t>SARS-CoV-2 (COVID-19) ambulatora parauga (nazofaringeāla uztriepe) paņemšana laboratorijā</t>
  </si>
  <si>
    <t>SARS-CoV-2 (COVID-19) transporta barotne ar diviem lokaniem tamponiem</t>
  </si>
  <si>
    <t>SARS-CoV-2 (COVID-19) antigēna noteikšana (Ag eksprestests) (ar reaģenta komplekta vērtību)</t>
  </si>
  <si>
    <t>Pakalpojumu programma</t>
  </si>
  <si>
    <t>Vidējas izmaksas uz pacientu, EUR</t>
  </si>
  <si>
    <t>Plānotais 10% pieaugums saistībā ar Covid-19 pacietu skaita pieaugumu</t>
  </si>
  <si>
    <t>AP89 - Rehabilitācija ambulatori bērniem, kas pārslimojuši Covid-19</t>
  </si>
  <si>
    <t>AP92 - Rehabilitācija dienas stacionārā bērniem, kas pārslimojuši Covid-19</t>
  </si>
  <si>
    <t>AP91 - Rehabilitācija dienas stacionārā pieaugušajiem, kas pārslimojuši Covid-19</t>
  </si>
  <si>
    <t>AP90 - Rehabilitācija ambulatori pieaugušajiem, kas pārslimojuši Covid-19</t>
  </si>
  <si>
    <t>Kopā ambulatori, eiro</t>
  </si>
  <si>
    <t>Kopā stacionāri, EUR:</t>
  </si>
  <si>
    <t>KOPĀ</t>
  </si>
  <si>
    <t>Manipulācijas nosaukums</t>
  </si>
  <si>
    <t>Manipulācijas kods</t>
  </si>
  <si>
    <t>COVID - 19 diagnostika stacionāros</t>
  </si>
  <si>
    <t>SARS-CoV-2 RNS (COVID-19) noteikšana ar reālā laika PĶR (bez parauga paņemšanas) ātrai diagnostikai un diferenciāldiagnostikai (ar reaģenta vērtību)</t>
  </si>
  <si>
    <t>SARS-CoV-2 (COVID-19) antigēna noteikšana (Ag eksprestests) (bez reaģenta komplekta vērtības)</t>
  </si>
  <si>
    <t>COVID-19 transporta barotne ar diviem lokaniem tamponiem ātrajam molekulārajam testam</t>
  </si>
  <si>
    <t>COVID - 19 diagnostika laboratorijās</t>
  </si>
  <si>
    <t>SARS-CoV-2 RNS (COVID-19) apstiprināšana ar reālā laika PĶR (bez parauga paņemšanas)</t>
  </si>
  <si>
    <t>COVID - 19 diagnostika citās ārstniecības iestādēs</t>
  </si>
  <si>
    <t>References laboratorijas papildus izmeklējumi</t>
  </si>
  <si>
    <t>Ref.Lab. Sekvencēšana</t>
  </si>
  <si>
    <t>Kopā</t>
  </si>
  <si>
    <t>IAL zobārstniecības pakalpojumos</t>
  </si>
  <si>
    <t>Laiks epidemioloģiskās drošības pasākumu nodrošināšanai zobārstam vai mutes, sejas un žokļu ķirurgam ambulatoro veselības aprūpes pakalpojumu nodrošināšanai stacionārajās ārstniecības iestādēs</t>
  </si>
  <si>
    <t>Laiks epidemioloģiskās drošības pasākumu nodrošināšanai ārstniecības un pacientu aprūpes personām zobārstniecības pakalpojumu nodrošināšanai ambulatori stacionārajās ārstniecības iestādēs</t>
  </si>
  <si>
    <t>Piemaksa par laiku un individuālajiem aizsardzības līdzekļiem epidemioloģiskās drošības pasākumu nodrošināšanai ārstniecības un pacientu aprūpes personām zobārstniecības pakalpojumu nodrošināšanai ambulatori</t>
  </si>
  <si>
    <t>IAL manipulācijas SAVA</t>
  </si>
  <si>
    <t>Individuālo aizsardzības līdzekļu izmaksas viena COVID-19 pacienta aprūpei</t>
  </si>
  <si>
    <t>Individuālo aizsardzības līdzekļu izmaksas COVID-19 pacientu aprūpei ambulatoro pakalpojumu nodrošināšanai ārstniecības iestādē</t>
  </si>
  <si>
    <t>Piemaksa SAVA speciālistiem par laiku un individuālajiem aizsardzības līdzekļiem epidemioloģiskās drošības pasākumu nodrošināšanai ambulatoro veselības aprūpes pakalpojumu nodrošināšanai</t>
  </si>
  <si>
    <t>Piemaksa gultasdienai par laiku un individuālajiem aizsardzības līdzekļiem epidemioloģiskās drošības pasākumu nodrošināšanu rehabilitācijas un psihiatriskā profila dienas stacionāros</t>
  </si>
  <si>
    <t>Piemaksa par laiku un individuālajiem aizsardzības līdzekļiem epidemioloģiskās drošības pasākumu nodrošināšanai ārstniecības un pacientu aprūpes personām un funkcionālo speciālistu asistentiem ambulatoro veselības aprūpes pakalpojumu nodrošināšanai</t>
  </si>
  <si>
    <t>IAL mājas aprūpē</t>
  </si>
  <si>
    <t>Individuālo aizsardzības līdzekļu izmaksas ārstniecības personai par veselības aprūpes pakalpojumu nodrošināšanu mājās</t>
  </si>
  <si>
    <t>IAL faktiskās izmaksas laboratorijām</t>
  </si>
  <si>
    <t>IAL</t>
  </si>
  <si>
    <t>IAL faktiskās izmaksas stacionāros</t>
  </si>
  <si>
    <t>IAL fiksētās piemaksas</t>
  </si>
  <si>
    <t>IAL fiksētā piemaksa ģimenes ārstu praksēm</t>
  </si>
  <si>
    <t>IAL fiksētā piemaksa feldšerpunktiem</t>
  </si>
  <si>
    <t>Piemaksa Covid-19 pacientu aprūpes gultasdienai par individuālajiem aizsardzības līdzekļiem epidemioloģiskās drošības pasākumu nodrošināšanai stacionārajās ārstniecības iestādēs</t>
  </si>
  <si>
    <t>Piemaksa gultasdienai par individuālajiem aizsardzības līdzekļiem epidemioloģiskās drošības pasākumu nodrošināšanai  stacionārajās ārstniecības iestādēs</t>
  </si>
  <si>
    <t>Tarifs ar 2022.gada algu, EUR</t>
  </si>
  <si>
    <t>Jūlijs,  2021</t>
  </si>
  <si>
    <t>„Centrālā laboratorija” SIA: IAL laboratorijā un Paraugu paņemšanas punktos</t>
  </si>
  <si>
    <t>„Centrālā laboratorija” SIA: IAL izlietojums Paraugu paņemšanai personu dzīvesvietā</t>
  </si>
  <si>
    <t>Pārtikas drošības, dzīvnieku veselības un vides zinātniskā institūta "BIOR": IAL laboratorijā un Paraugu paņemšanas punktos</t>
  </si>
  <si>
    <t>SIA Dziedniecība: IAL laboratorijā un Paraugu paņemšanas punktos</t>
  </si>
  <si>
    <t>SIA “NMS laboratorija“</t>
  </si>
  <si>
    <t>iVF Riga, SIA: IAL laboratorijā un Paraugu paņemšanas punktos</t>
  </si>
  <si>
    <t>Tarifs 2022, EUR</t>
  </si>
  <si>
    <t>Unikālo pacientu skaits mēnesim</t>
  </si>
  <si>
    <t>Valsts izmaksas SUM mēnesim, EUR</t>
  </si>
  <si>
    <t>N.p.k.</t>
  </si>
  <si>
    <t>Pasākums</t>
  </si>
  <si>
    <t>Finansējums, euro</t>
  </si>
  <si>
    <t xml:space="preserve">Dinamiskā novērošana pēc Covid-19 </t>
  </si>
  <si>
    <t>Papildus nepieciešamais finansējums testēšanas nodrošināšanai</t>
  </si>
  <si>
    <t>Covid-19 epidēmijas monitorings un epidemioloģiskā uzraudzība</t>
  </si>
  <si>
    <t>Covid-19 inficēto personu veselības aprūpe</t>
  </si>
  <si>
    <t xml:space="preserve">Subakūtā rehabilitācija </t>
  </si>
  <si>
    <t>1.1.pielikums</t>
  </si>
  <si>
    <t>1.2.pielikums</t>
  </si>
  <si>
    <t>1.3.pielikums</t>
  </si>
  <si>
    <t>1.4.pielikums</t>
  </si>
  <si>
    <t>IAL faktiskās izmaksas uzņemšanās</t>
  </si>
  <si>
    <t>Uzņemšanas nodaļu fiksētais maksājums</t>
  </si>
  <si>
    <r>
      <t xml:space="preserve">Covid-19 testēšanas sistēma. </t>
    </r>
    <r>
      <rPr>
        <sz val="12"/>
        <rFont val="Times New Roman"/>
        <family val="1"/>
        <charset val="186"/>
      </rPr>
      <t>Testēšana strauji pieaug atkarībā no infekcijas izplatības - gan skrīninga nodrošināšanai, gan infekcijas izplatīšanās novēršanai, gan parādoties arvien vairāk cilvēkiem ar simptomiem.</t>
    </r>
  </si>
  <si>
    <t xml:space="preserve">Epid.drošība un IAL. Izmaksas mainās pieaugot ar Covid-19 inficēto skaitam. Epidemioloģiskās drošības prasības mainā atkarībā no inficēto pacientu skaita. </t>
  </si>
  <si>
    <t>Pamata nepieciešamība pēc testēšanas</t>
  </si>
  <si>
    <t>*vidējais izmeklējumu skaits 2022. gada septembrī, kas testēšana par valsts līdzekļiem notiek pēc stingra testēšanas algoritma - tikai ar nosūtījumu</t>
  </si>
  <si>
    <t>Papildus nepieciešamais finansējums veselības aprūpes pasākumiem Covid-19 izplatības ierobežošanai un seku mazināšanai 2023. gadā</t>
  </si>
  <si>
    <t>Pamatpakalpojumu nodrošinājums (bāze) 9 mēnešu periods</t>
  </si>
  <si>
    <t>Papildus nepieciešamais finansējums dinamiskā novērošana pacientiem pēc Covid-19 pārslimošanas</t>
  </si>
  <si>
    <t>Pamatpakalpojumu nodrošinājums (bāze) 3 mēnešu periods</t>
  </si>
  <si>
    <t>Pacientu skaits 2022. gada janvāris-oktobris</t>
  </si>
  <si>
    <t>Valsts izmaksas SUM 2022. gada janvāris-oktobris, EUR</t>
  </si>
  <si>
    <t>Subakūtā un ilgtermiņa rehabilitācija stacionārā bērniem, kas pārslimojuši Covid-19</t>
  </si>
  <si>
    <t>Subakūtā un ilgtermiņa rehabilitācija stacionārā pieaugušajiem, kas pārslimojuši Covid-19</t>
  </si>
  <si>
    <t>SARS-CoV-2 RNS (COVID-19) noteikšana ar reālā laika PĶR (bez parauga paņemšanas) ātrai diagnostikai un diferenciāldiagnostikai (bez reaģenta vērtības)</t>
  </si>
  <si>
    <t>SARS-CoV-2 genotipēšana ar sekvencēšanu epidemioloģijas jomā (ar reaģenta vērtību )</t>
  </si>
  <si>
    <t>Pirmais etaps sekvencēšana</t>
  </si>
  <si>
    <t>47075R</t>
  </si>
  <si>
    <t>R SARS-CoV-2 RNS (COVID 19) apstiprināšana ar reālā laika PĶR (bez parauga paņemšanas)</t>
  </si>
  <si>
    <t>47046R</t>
  </si>
  <si>
    <t>R IgA klases antivielu pret SARS-CoV-2 (COVID-19) noteikšana ar imūnfermentatīvo metodi (ELISA, CMIA, ECLIA, CLIA)</t>
  </si>
  <si>
    <t>47047R</t>
  </si>
  <si>
    <t>R IgM klases antivielu pret SARS-CoV-2 (COVID-19) noteikšana ar imūnfermentatīvo metodi (ELISA, CMIA, ECLIA, CLIA)</t>
  </si>
  <si>
    <t>47049R</t>
  </si>
  <si>
    <t>R IgG klases antivielu pret SARS-CoV-2 (COVID-19) noteikšana ar imūnfermentatīvo metodi (ELISA, CMIA, ECLIA, CLIA)</t>
  </si>
  <si>
    <t>47051R</t>
  </si>
  <si>
    <t>R IgG klases antivielu pret SARS-CoV-2 (COVID-19) kvantitatīva noteikšana ar imūnfermentatīvo metodi (ELISA, CMIA, ECLIA, CLIA)</t>
  </si>
  <si>
    <t>47064R</t>
  </si>
  <si>
    <t>R Kopējo antivielu pret SARS-CoV-2 (COVID-19) noteikšana ar imūnfermentatīvo metodi (ELISA, CMIA, ECLIA, CLIA)</t>
  </si>
  <si>
    <t>47076R</t>
  </si>
  <si>
    <t>R Asins ņemšana ar slēgtu sistēmu vienā stobriņā antivielu pret SARS-CoV-2 (COVID-19) noteikšanai</t>
  </si>
  <si>
    <t>47077R</t>
  </si>
  <si>
    <t xml:space="preserve"> R SARS-CoV-2 RNS (COVID-19) noteikšana ar reālā laika PĶR (bez parauga paņemšanas) ātrai diagnostikai un diferenciāldiagnostikai - izmeklējums ar  Multiplex reaģentiem</t>
  </si>
  <si>
    <t>Covid019 un gripas deiferenciāldiagnostika</t>
  </si>
  <si>
    <t>Ātrā diagnostika respiratoro infekciju izraisītāju (gripas vīrusu A/B, RSV ar vai bez SARS-CoV-2) RNS noteikšana ar reālā laika polimerāzes ķēdes reakciju (PĶR), izmantojot CE-IVD reaģentus</t>
  </si>
  <si>
    <t xml:space="preserve"> Piemaksa 47329 par gripas vīrusu A/B, RSV un SARS-CoV-2 kārtridžu</t>
  </si>
  <si>
    <t>Covid019 telefons (fiksētais maksājums)</t>
  </si>
  <si>
    <t>1.5.pielikums</t>
  </si>
  <si>
    <t>Informatīvajam ziņojumam "Par veselības aprūpes pasākumiem Covid-19 izplatības ierobežošanai un seku mazināšanai 2023. gadā” "</t>
  </si>
  <si>
    <t>Laboratorijas izmaksas  uz pacientu mēnesī, EUR</t>
  </si>
  <si>
    <t>Izmaksas uz pacientu mēnesī ar medikamentiem, EUR</t>
  </si>
  <si>
    <t>Izmaksas uz pacientu mēnesī ar medikamentiem UN laboratoriju, EUR</t>
  </si>
  <si>
    <t>Unikālo pacientu skaits stacionārā 2022. gada (janvāris-oktobris</t>
  </si>
  <si>
    <t>Izmaksas uz pacientu septembrī, EUR</t>
  </si>
  <si>
    <t>IAL izdale - pasta izdevumi (ceturksnī vidēji 20 000 eur)</t>
  </si>
  <si>
    <t>Pamatpakalpojumu nodrošinājums (bāze) 12 mēnešu periods</t>
  </si>
  <si>
    <t>KOPĀ (Covid-19 pasākumu īstenošanas turpināšanai)</t>
  </si>
  <si>
    <t xml:space="preserve">prioritārais pasākums  Nr. 29_14_P “Covid-19 infekcijas apkarošanas un ierobežošanas pasākumi”	</t>
  </si>
  <si>
    <t xml:space="preserve">Papildus nepieciešamais finansējums IAL </t>
  </si>
  <si>
    <t>Kopā vienam mēnesim, EUR</t>
  </si>
  <si>
    <t>Rehabilitācijas pakalpojumi pacientiem pēc pārslimotas Covid-19 infekcijas</t>
  </si>
  <si>
    <t>Kopā, vienam mēnesim EUR</t>
  </si>
  <si>
    <t>Prognoze Izmeklējumiem  vidēji mēnesī  *</t>
  </si>
  <si>
    <t xml:space="preserve">2023 (I CETURKSNIS), finansējams no atbilstoši likumā “Par valsts budžetu 2023. gadam” 74.resora programmā 12.00.00 “Finansējums veselības jomas pasākumiem Covid-19 infekcijas izplatības ierobežošanai”, </t>
  </si>
  <si>
    <t>2023 II, III UN IV CETURKSNĪ papildus nepieciešamais finansējums</t>
  </si>
  <si>
    <t>Kopā 2023. gadā nepieciešamais papildus finansējums</t>
  </si>
  <si>
    <t>Prognozētais pacientu skaits mēnesī *</t>
  </si>
  <si>
    <t>* atbilstoši faktiskajai izpildei 2022. gada septembrī</t>
  </si>
  <si>
    <t>Papildus nepieciešamais finansējums vienam mēnesim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</si>
</sst>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  <numFmt numFmtId="166" formatCode="_-* #,##0\ _€_-;\-* #,##0\ _€_-;_-* &quot;-&quot;??\ _€_-;_-@_-"/>
  </numFmts>
  <fonts count="55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</font>
    <font>
      <sz val="10"/>
      <color theme="1"/>
      <name val="Arial"/>
      <family val="2"/>
      <charset val="186"/>
    </font>
    <font>
      <sz val="10"/>
      <name val="Times New Roman"/>
      <family val="1"/>
      <charset val="186"/>
    </font>
    <font>
      <b/>
      <sz val="10"/>
      <color theme="1"/>
      <name val="Arial"/>
      <family val="2"/>
      <charset val="186"/>
    </font>
    <font>
      <b/>
      <sz val="1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b/>
      <sz val="10"/>
      <color rgb="FF000000"/>
      <name val="Times New Roman"/>
      <family val="1"/>
      <charset val="186"/>
    </font>
    <font>
      <b/>
      <u/>
      <sz val="11"/>
      <color theme="1"/>
      <name val="Times New Roman"/>
      <family val="1"/>
      <charset val="186"/>
    </font>
    <font>
      <b/>
      <u/>
      <sz val="10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u/>
      <sz val="11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1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u/>
      <sz val="11"/>
      <color rgb="FF000000"/>
      <name val="Times New Roman"/>
      <family val="1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</font>
    <font>
      <b/>
      <sz val="12"/>
      <color theme="0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b/>
      <sz val="12"/>
      <name val="Times New Roman"/>
      <family val="1"/>
      <charset val="186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b/>
      <sz val="11"/>
      <color theme="9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7030A0"/>
      <name val="Calibri"/>
      <family val="2"/>
      <charset val="186"/>
      <scheme val="minor"/>
    </font>
    <font>
      <sz val="10"/>
      <name val="Arial"/>
      <family val="2"/>
    </font>
    <font>
      <sz val="10"/>
      <name val="Arial"/>
      <family val="2"/>
      <charset val="186"/>
    </font>
    <font>
      <b/>
      <u/>
      <sz val="12"/>
      <name val="Times New Roman"/>
      <family val="1"/>
    </font>
    <font>
      <sz val="10"/>
      <color rgb="FFFF0000"/>
      <name val="Times New Roman"/>
      <family val="1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0"/>
      <name val="Arial"/>
      <family val="2"/>
      <charset val="186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9">
    <xf numFmtId="0" fontId="0" fillId="0" borderId="0"/>
    <xf numFmtId="0" fontId="4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16" fillId="0" borderId="0"/>
    <xf numFmtId="43" fontId="16" fillId="0" borderId="0" applyFont="0" applyFill="0" applyBorder="0" applyAlignment="0" applyProtection="0"/>
    <xf numFmtId="0" fontId="35" fillId="0" borderId="0"/>
    <xf numFmtId="0" fontId="4" fillId="0" borderId="0"/>
    <xf numFmtId="0" fontId="4" fillId="0" borderId="0"/>
    <xf numFmtId="0" fontId="16" fillId="0" borderId="0"/>
    <xf numFmtId="0" fontId="8" fillId="0" borderId="0"/>
    <xf numFmtId="0" fontId="1" fillId="0" borderId="0"/>
    <xf numFmtId="0" fontId="1" fillId="0" borderId="0"/>
    <xf numFmtId="0" fontId="35" fillId="0" borderId="0"/>
    <xf numFmtId="0" fontId="1" fillId="0" borderId="0"/>
    <xf numFmtId="0" fontId="35" fillId="0" borderId="0"/>
    <xf numFmtId="0" fontId="6" fillId="0" borderId="0"/>
    <xf numFmtId="0" fontId="30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6" fillId="0" borderId="0"/>
    <xf numFmtId="0" fontId="45" fillId="0" borderId="0"/>
    <xf numFmtId="0" fontId="46" fillId="0" borderId="0"/>
    <xf numFmtId="43" fontId="16" fillId="0" borderId="0" applyFont="0" applyFill="0" applyBorder="0" applyAlignment="0" applyProtection="0"/>
    <xf numFmtId="0" fontId="30" fillId="0" borderId="0"/>
    <xf numFmtId="0" fontId="1" fillId="0" borderId="0"/>
    <xf numFmtId="0" fontId="1" fillId="0" borderId="0"/>
  </cellStyleXfs>
  <cellXfs count="147">
    <xf numFmtId="0" fontId="0" fillId="0" borderId="0" xfId="0"/>
    <xf numFmtId="0" fontId="0" fillId="0" borderId="1" xfId="0" applyBorder="1"/>
    <xf numFmtId="0" fontId="5" fillId="0" borderId="0" xfId="0" applyFont="1"/>
    <xf numFmtId="43" fontId="7" fillId="5" borderId="1" xfId="2" applyFont="1" applyFill="1" applyBorder="1"/>
    <xf numFmtId="0" fontId="7" fillId="4" borderId="4" xfId="3" applyFont="1" applyFill="1" applyBorder="1" applyAlignment="1">
      <alignment horizontal="center" vertical="center" wrapText="1"/>
    </xf>
    <xf numFmtId="0" fontId="7" fillId="4" borderId="5" xfId="3" applyFont="1" applyFill="1" applyBorder="1" applyAlignment="1">
      <alignment horizontal="center" vertical="center" wrapText="1"/>
    </xf>
    <xf numFmtId="0" fontId="7" fillId="4" borderId="6" xfId="3" applyFont="1" applyFill="1" applyBorder="1" applyAlignment="1">
      <alignment horizontal="center" vertical="center" wrapText="1"/>
    </xf>
    <xf numFmtId="43" fontId="7" fillId="5" borderId="8" xfId="2" applyFont="1" applyFill="1" applyBorder="1"/>
    <xf numFmtId="0" fontId="10" fillId="0" borderId="9" xfId="0" applyFont="1" applyBorder="1" applyAlignment="1">
      <alignment vertical="center" wrapText="1"/>
    </xf>
    <xf numFmtId="164" fontId="11" fillId="5" borderId="10" xfId="2" applyNumberFormat="1" applyFont="1" applyFill="1" applyBorder="1" applyAlignment="1">
      <alignment horizontal="center" vertical="center"/>
    </xf>
    <xf numFmtId="43" fontId="11" fillId="5" borderId="10" xfId="2" applyFont="1" applyFill="1" applyBorder="1" applyAlignment="1">
      <alignment vertical="center"/>
    </xf>
    <xf numFmtId="43" fontId="11" fillId="5" borderId="10" xfId="2" applyFont="1" applyFill="1" applyBorder="1"/>
    <xf numFmtId="43" fontId="11" fillId="5" borderId="11" xfId="2" applyFont="1" applyFill="1" applyBorder="1"/>
    <xf numFmtId="0" fontId="15" fillId="0" borderId="1" xfId="0" applyFont="1" applyBorder="1" applyAlignment="1">
      <alignment horizontal="center"/>
    </xf>
    <xf numFmtId="165" fontId="2" fillId="6" borderId="0" xfId="0" applyNumberFormat="1" applyFont="1" applyFill="1"/>
    <xf numFmtId="4" fontId="0" fillId="0" borderId="0" xfId="0" applyNumberFormat="1"/>
    <xf numFmtId="0" fontId="15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2" fontId="20" fillId="0" borderId="1" xfId="0" applyNumberFormat="1" applyFont="1" applyBorder="1" applyAlignment="1">
      <alignment horizontal="center" wrapText="1"/>
    </xf>
    <xf numFmtId="0" fontId="22" fillId="0" borderId="1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11" borderId="1" xfId="0" applyFont="1" applyFill="1" applyBorder="1" applyAlignment="1">
      <alignment horizontal="center"/>
    </xf>
    <xf numFmtId="4" fontId="22" fillId="0" borderId="1" xfId="0" applyNumberFormat="1" applyFont="1" applyBorder="1" applyAlignment="1">
      <alignment horizontal="center" wrapText="1"/>
    </xf>
    <xf numFmtId="4" fontId="22" fillId="0" borderId="1" xfId="0" applyNumberFormat="1" applyFont="1" applyBorder="1" applyAlignment="1">
      <alignment horizontal="center"/>
    </xf>
    <xf numFmtId="4" fontId="20" fillId="0" borderId="1" xfId="0" applyNumberFormat="1" applyFont="1" applyBorder="1" applyAlignment="1">
      <alignment horizontal="center"/>
    </xf>
    <xf numFmtId="4" fontId="22" fillId="10" borderId="1" xfId="0" applyNumberFormat="1" applyFont="1" applyFill="1" applyBorder="1" applyAlignment="1">
      <alignment horizontal="center"/>
    </xf>
    <xf numFmtId="4" fontId="22" fillId="11" borderId="1" xfId="0" applyNumberFormat="1" applyFont="1" applyFill="1" applyBorder="1"/>
    <xf numFmtId="4" fontId="22" fillId="11" borderId="1" xfId="0" applyNumberFormat="1" applyFont="1" applyFill="1" applyBorder="1" applyAlignment="1">
      <alignment horizontal="center"/>
    </xf>
    <xf numFmtId="4" fontId="20" fillId="9" borderId="1" xfId="0" applyNumberFormat="1" applyFont="1" applyFill="1" applyBorder="1" applyAlignment="1">
      <alignment horizontal="center"/>
    </xf>
    <xf numFmtId="4" fontId="20" fillId="10" borderId="1" xfId="0" applyNumberFormat="1" applyFont="1" applyFill="1" applyBorder="1" applyAlignment="1">
      <alignment horizontal="center"/>
    </xf>
    <xf numFmtId="4" fontId="26" fillId="0" borderId="1" xfId="0" applyNumberFormat="1" applyFont="1" applyBorder="1" applyAlignment="1">
      <alignment horizontal="center"/>
    </xf>
    <xf numFmtId="3" fontId="26" fillId="0" borderId="1" xfId="0" applyNumberFormat="1" applyFont="1" applyBorder="1" applyAlignment="1">
      <alignment horizontal="center"/>
    </xf>
    <xf numFmtId="3" fontId="27" fillId="0" borderId="1" xfId="0" applyNumberFormat="1" applyFont="1" applyBorder="1" applyAlignment="1">
      <alignment horizontal="center"/>
    </xf>
    <xf numFmtId="4" fontId="17" fillId="0" borderId="1" xfId="0" applyNumberFormat="1" applyFont="1" applyBorder="1" applyAlignment="1">
      <alignment horizontal="center" wrapText="1"/>
    </xf>
    <xf numFmtId="0" fontId="13" fillId="10" borderId="0" xfId="0" applyFont="1" applyFill="1" applyAlignment="1">
      <alignment horizontal="center" vertical="center"/>
    </xf>
    <xf numFmtId="4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3" xfId="0" applyFont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164" fontId="7" fillId="5" borderId="1" xfId="2" applyNumberFormat="1" applyFont="1" applyFill="1" applyBorder="1"/>
    <xf numFmtId="166" fontId="0" fillId="0" borderId="0" xfId="0" applyNumberFormat="1"/>
    <xf numFmtId="165" fontId="0" fillId="0" borderId="0" xfId="0" applyNumberFormat="1"/>
    <xf numFmtId="43" fontId="0" fillId="0" borderId="0" xfId="0" applyNumberFormat="1"/>
    <xf numFmtId="0" fontId="32" fillId="0" borderId="1" xfId="0" applyFont="1" applyBorder="1" applyAlignment="1">
      <alignment vertical="center" wrapText="1"/>
    </xf>
    <xf numFmtId="0" fontId="34" fillId="0" borderId="0" xfId="0" applyFont="1"/>
    <xf numFmtId="0" fontId="15" fillId="12" borderId="1" xfId="0" applyFont="1" applyFill="1" applyBorder="1" applyAlignment="1">
      <alignment horizontal="center" wrapText="1"/>
    </xf>
    <xf numFmtId="0" fontId="19" fillId="12" borderId="1" xfId="0" applyFont="1" applyFill="1" applyBorder="1" applyAlignment="1">
      <alignment horizontal="center" vertical="center" wrapText="1"/>
    </xf>
    <xf numFmtId="4" fontId="19" fillId="12" borderId="1" xfId="0" applyNumberFormat="1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wrapText="1"/>
    </xf>
    <xf numFmtId="0" fontId="20" fillId="3" borderId="1" xfId="0" applyFont="1" applyFill="1" applyBorder="1" applyAlignment="1">
      <alignment horizontal="center" wrapText="1"/>
    </xf>
    <xf numFmtId="4" fontId="33" fillId="0" borderId="1" xfId="0" applyNumberFormat="1" applyFont="1" applyBorder="1" applyAlignment="1">
      <alignment vertical="center" wrapText="1"/>
    </xf>
    <xf numFmtId="0" fontId="38" fillId="0" borderId="0" xfId="0" applyFont="1"/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vertical="top" wrapText="1"/>
    </xf>
    <xf numFmtId="49" fontId="26" fillId="0" borderId="1" xfId="12" applyNumberFormat="1" applyFont="1" applyBorder="1" applyAlignment="1">
      <alignment vertical="center" wrapText="1"/>
    </xf>
    <xf numFmtId="4" fontId="22" fillId="0" borderId="0" xfId="0" applyNumberFormat="1" applyFont="1" applyAlignment="1">
      <alignment horizontal="center"/>
    </xf>
    <xf numFmtId="0" fontId="26" fillId="5" borderId="1" xfId="0" applyFont="1" applyFill="1" applyBorder="1" applyAlignment="1">
      <alignment vertical="center"/>
    </xf>
    <xf numFmtId="4" fontId="26" fillId="5" borderId="1" xfId="0" applyNumberFormat="1" applyFont="1" applyFill="1" applyBorder="1" applyAlignment="1">
      <alignment horizontal="right" vertical="center"/>
    </xf>
    <xf numFmtId="4" fontId="26" fillId="5" borderId="1" xfId="0" applyNumberFormat="1" applyFont="1" applyFill="1" applyBorder="1" applyAlignment="1">
      <alignment vertical="center"/>
    </xf>
    <xf numFmtId="0" fontId="22" fillId="0" borderId="2" xfId="0" applyFont="1" applyBorder="1" applyAlignment="1">
      <alignment horizontal="center"/>
    </xf>
    <xf numFmtId="4" fontId="22" fillId="0" borderId="2" xfId="0" applyNumberFormat="1" applyFont="1" applyBorder="1"/>
    <xf numFmtId="4" fontId="22" fillId="0" borderId="2" xfId="0" applyNumberFormat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41" fillId="0" borderId="0" xfId="0" applyFont="1"/>
    <xf numFmtId="0" fontId="3" fillId="0" borderId="0" xfId="0" applyFont="1" applyAlignment="1">
      <alignment horizontal="left"/>
    </xf>
    <xf numFmtId="0" fontId="0" fillId="0" borderId="13" xfId="0" applyBorder="1"/>
    <xf numFmtId="0" fontId="42" fillId="0" borderId="0" xfId="0" applyFont="1"/>
    <xf numFmtId="0" fontId="44" fillId="0" borderId="0" xfId="0" applyFont="1"/>
    <xf numFmtId="0" fontId="37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justify" vertical="center"/>
    </xf>
    <xf numFmtId="0" fontId="36" fillId="0" borderId="1" xfId="0" applyFont="1" applyBorder="1" applyAlignment="1">
      <alignment horizontal="left" vertical="center" wrapText="1"/>
    </xf>
    <xf numFmtId="0" fontId="31" fillId="13" borderId="1" xfId="0" applyFont="1" applyFill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wrapText="1"/>
    </xf>
    <xf numFmtId="0" fontId="20" fillId="0" borderId="14" xfId="0" applyFont="1" applyBorder="1" applyAlignment="1">
      <alignment horizontal="center" wrapText="1"/>
    </xf>
    <xf numFmtId="0" fontId="20" fillId="0" borderId="12" xfId="0" applyFont="1" applyBorder="1" applyAlignment="1">
      <alignment horizontal="center" wrapText="1"/>
    </xf>
    <xf numFmtId="4" fontId="20" fillId="2" borderId="1" xfId="0" applyNumberFormat="1" applyFont="1" applyFill="1" applyBorder="1" applyAlignment="1">
      <alignment horizontal="center" wrapText="1"/>
    </xf>
    <xf numFmtId="4" fontId="20" fillId="12" borderId="1" xfId="0" applyNumberFormat="1" applyFont="1" applyFill="1" applyBorder="1" applyAlignment="1">
      <alignment horizontal="center" wrapText="1"/>
    </xf>
    <xf numFmtId="4" fontId="29" fillId="3" borderId="0" xfId="0" applyNumberFormat="1" applyFont="1" applyFill="1"/>
    <xf numFmtId="0" fontId="20" fillId="0" borderId="1" xfId="0" applyFont="1" applyBorder="1" applyAlignment="1">
      <alignment wrapText="1"/>
    </xf>
    <xf numFmtId="0" fontId="20" fillId="7" borderId="1" xfId="0" applyFont="1" applyFill="1" applyBorder="1" applyAlignment="1">
      <alignment horizontal="center" wrapText="1"/>
    </xf>
    <xf numFmtId="0" fontId="20" fillId="7" borderId="1" xfId="0" applyFont="1" applyFill="1" applyBorder="1" applyAlignment="1">
      <alignment wrapText="1"/>
    </xf>
    <xf numFmtId="4" fontId="20" fillId="7" borderId="1" xfId="0" applyNumberFormat="1" applyFont="1" applyFill="1" applyBorder="1" applyAlignment="1">
      <alignment horizontal="center" wrapText="1"/>
    </xf>
    <xf numFmtId="0" fontId="9" fillId="0" borderId="12" xfId="0" applyFont="1" applyBorder="1" applyAlignment="1">
      <alignment vertical="center" wrapText="1"/>
    </xf>
    <xf numFmtId="165" fontId="2" fillId="0" borderId="0" xfId="0" applyNumberFormat="1" applyFont="1"/>
    <xf numFmtId="0" fontId="36" fillId="0" borderId="1" xfId="0" applyFont="1" applyBorder="1" applyAlignment="1">
      <alignment horizontal="left" vertical="center"/>
    </xf>
    <xf numFmtId="0" fontId="47" fillId="0" borderId="0" xfId="0" applyFont="1" applyAlignment="1">
      <alignment horizontal="justify" vertical="center"/>
    </xf>
    <xf numFmtId="0" fontId="47" fillId="0" borderId="1" xfId="0" applyFont="1" applyBorder="1" applyAlignment="1">
      <alignment horizontal="justify" vertical="center"/>
    </xf>
    <xf numFmtId="0" fontId="31" fillId="14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49" fillId="0" borderId="1" xfId="7" applyNumberFormat="1" applyFont="1" applyBorder="1"/>
    <xf numFmtId="0" fontId="50" fillId="0" borderId="0" xfId="0" applyFont="1"/>
    <xf numFmtId="0" fontId="23" fillId="3" borderId="1" xfId="0" applyFont="1" applyFill="1" applyBorder="1" applyAlignment="1">
      <alignment wrapText="1"/>
    </xf>
    <xf numFmtId="4" fontId="15" fillId="0" borderId="0" xfId="0" applyNumberFormat="1" applyFont="1" applyAlignment="1">
      <alignment horizontal="center" wrapText="1"/>
    </xf>
    <xf numFmtId="0" fontId="48" fillId="0" borderId="0" xfId="3" applyFont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164" fontId="7" fillId="5" borderId="1" xfId="2" applyNumberFormat="1" applyFont="1" applyFill="1" applyBorder="1" applyAlignment="1">
      <alignment horizontal="center" vertical="center"/>
    </xf>
    <xf numFmtId="43" fontId="7" fillId="5" borderId="1" xfId="2" applyFont="1" applyFill="1" applyBorder="1" applyAlignment="1">
      <alignment vertical="center"/>
    </xf>
    <xf numFmtId="0" fontId="29" fillId="0" borderId="9" xfId="0" applyFont="1" applyBorder="1"/>
    <xf numFmtId="0" fontId="29" fillId="0" borderId="10" xfId="0" applyFont="1" applyBorder="1"/>
    <xf numFmtId="0" fontId="51" fillId="0" borderId="10" xfId="0" applyFont="1" applyBorder="1"/>
    <xf numFmtId="164" fontId="51" fillId="4" borderId="10" xfId="0" applyNumberFormat="1" applyFont="1" applyFill="1" applyBorder="1"/>
    <xf numFmtId="164" fontId="51" fillId="4" borderId="11" xfId="0" applyNumberFormat="1" applyFont="1" applyFill="1" applyBorder="1"/>
    <xf numFmtId="0" fontId="29" fillId="0" borderId="0" xfId="0" applyFont="1"/>
    <xf numFmtId="0" fontId="52" fillId="0" borderId="9" xfId="0" applyFont="1" applyBorder="1" applyAlignment="1">
      <alignment vertical="center" wrapText="1"/>
    </xf>
    <xf numFmtId="0" fontId="53" fillId="0" borderId="0" xfId="0" applyFont="1"/>
    <xf numFmtId="0" fontId="0" fillId="0" borderId="1" xfId="0" applyBorder="1" applyAlignment="1">
      <alignment wrapText="1"/>
    </xf>
    <xf numFmtId="3" fontId="0" fillId="0" borderId="1" xfId="0" applyNumberFormat="1" applyBorder="1"/>
    <xf numFmtId="3" fontId="0" fillId="0" borderId="0" xfId="0" applyNumberFormat="1"/>
    <xf numFmtId="0" fontId="29" fillId="0" borderId="1" xfId="0" applyFont="1" applyBorder="1" applyAlignment="1">
      <alignment wrapText="1"/>
    </xf>
    <xf numFmtId="3" fontId="29" fillId="0" borderId="0" xfId="0" applyNumberFormat="1" applyFont="1"/>
    <xf numFmtId="3" fontId="29" fillId="0" borderId="1" xfId="0" applyNumberFormat="1" applyFont="1" applyBorder="1"/>
    <xf numFmtId="4" fontId="0" fillId="0" borderId="1" xfId="0" applyNumberFormat="1" applyBorder="1"/>
    <xf numFmtId="4" fontId="29" fillId="0" borderId="1" xfId="0" applyNumberFormat="1" applyFont="1" applyBorder="1"/>
    <xf numFmtId="0" fontId="23" fillId="3" borderId="1" xfId="0" applyFont="1" applyFill="1" applyBorder="1" applyAlignment="1">
      <alignment horizontal="left" wrapText="1"/>
    </xf>
    <xf numFmtId="0" fontId="25" fillId="0" borderId="1" xfId="0" applyFont="1" applyBorder="1" applyAlignment="1">
      <alignment wrapText="1"/>
    </xf>
    <xf numFmtId="4" fontId="27" fillId="0" borderId="1" xfId="0" applyNumberFormat="1" applyFont="1" applyBorder="1" applyAlignment="1">
      <alignment horizontal="center"/>
    </xf>
    <xf numFmtId="0" fontId="31" fillId="15" borderId="0" xfId="0" applyFont="1" applyFill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4" fontId="40" fillId="0" borderId="1" xfId="0" applyNumberFormat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 indent="2"/>
    </xf>
    <xf numFmtId="0" fontId="0" fillId="0" borderId="1" xfId="0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0" fontId="29" fillId="0" borderId="0" xfId="0" applyFont="1" applyAlignment="1">
      <alignment wrapText="1"/>
    </xf>
    <xf numFmtId="0" fontId="54" fillId="16" borderId="1" xfId="0" applyFont="1" applyFill="1" applyBorder="1" applyAlignment="1">
      <alignment wrapText="1"/>
    </xf>
    <xf numFmtId="4" fontId="54" fillId="16" borderId="1" xfId="0" applyNumberFormat="1" applyFont="1" applyFill="1" applyBorder="1"/>
    <xf numFmtId="0" fontId="34" fillId="0" borderId="0" xfId="0" applyFont="1" applyAlignment="1">
      <alignment horizontal="center" vertical="center" wrapText="1"/>
    </xf>
    <xf numFmtId="0" fontId="23" fillId="3" borderId="1" xfId="0" applyFont="1" applyFill="1" applyBorder="1" applyAlignment="1">
      <alignment horizontal="left" wrapText="1"/>
    </xf>
    <xf numFmtId="0" fontId="13" fillId="10" borderId="14" xfId="0" applyFont="1" applyFill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3" fillId="10" borderId="12" xfId="0" applyFont="1" applyFill="1" applyBorder="1" applyAlignment="1">
      <alignment horizontal="center" vertical="center"/>
    </xf>
    <xf numFmtId="0" fontId="18" fillId="12" borderId="14" xfId="0" applyFont="1" applyFill="1" applyBorder="1" applyAlignment="1">
      <alignment horizontal="left" wrapText="1"/>
    </xf>
    <xf numFmtId="0" fontId="18" fillId="12" borderId="12" xfId="0" applyFont="1" applyFill="1" applyBorder="1" applyAlignment="1">
      <alignment horizontal="left" wrapText="1"/>
    </xf>
    <xf numFmtId="0" fontId="23" fillId="12" borderId="14" xfId="0" applyFont="1" applyFill="1" applyBorder="1" applyAlignment="1">
      <alignment horizontal="left" wrapText="1"/>
    </xf>
    <xf numFmtId="0" fontId="23" fillId="12" borderId="12" xfId="0" applyFont="1" applyFill="1" applyBorder="1" applyAlignment="1">
      <alignment horizontal="left" wrapText="1"/>
    </xf>
    <xf numFmtId="0" fontId="23" fillId="12" borderId="1" xfId="0" applyFont="1" applyFill="1" applyBorder="1" applyAlignment="1">
      <alignment horizontal="left" wrapText="1"/>
    </xf>
    <xf numFmtId="0" fontId="37" fillId="0" borderId="0" xfId="0" applyFont="1" applyAlignment="1">
      <alignment horizontal="left"/>
    </xf>
    <xf numFmtId="0" fontId="23" fillId="8" borderId="1" xfId="0" applyFont="1" applyFill="1" applyBorder="1" applyAlignment="1">
      <alignment horizontal="left"/>
    </xf>
    <xf numFmtId="0" fontId="43" fillId="0" borderId="0" xfId="0" applyFont="1" applyAlignment="1">
      <alignment horizontal="center"/>
    </xf>
    <xf numFmtId="0" fontId="23" fillId="8" borderId="14" xfId="0" applyFont="1" applyFill="1" applyBorder="1" applyAlignment="1">
      <alignment horizontal="left"/>
    </xf>
    <xf numFmtId="0" fontId="23" fillId="8" borderId="12" xfId="0" applyFont="1" applyFill="1" applyBorder="1" applyAlignment="1">
      <alignment horizontal="left"/>
    </xf>
  </cellXfs>
  <cellStyles count="29">
    <cellStyle name="Comma" xfId="2" builtinId="3"/>
    <cellStyle name="Comma 2" xfId="6" xr:uid="{F8E5A03D-4C81-45F0-A24C-29B156F336D9}"/>
    <cellStyle name="Comma 2 14" xfId="25" xr:uid="{EAE09C23-5D27-4E8B-B866-CC2DF5F4B137}"/>
    <cellStyle name="Comma 2 2" xfId="19" xr:uid="{EFF771D3-00CD-4E38-A540-7AA094F129DF}"/>
    <cellStyle name="Normal" xfId="0" builtinId="0"/>
    <cellStyle name="Normal 10 2 2" xfId="5" xr:uid="{FF7E0BA5-C699-41B5-B3FB-FB8AECEDABA8}"/>
    <cellStyle name="Normal 10 7" xfId="1" xr:uid="{B87162E3-279D-492E-A80A-1D366F2C10B1}"/>
    <cellStyle name="Normal 10 7 2" xfId="12" xr:uid="{F1F34BD1-1BC5-4917-823B-5C4CC65352A3}"/>
    <cellStyle name="Normal 10 7 2 3" xfId="27" xr:uid="{AEC00C90-34F6-404E-947B-6B652B179256}"/>
    <cellStyle name="Normal 2" xfId="7" xr:uid="{954FA722-CE8B-4175-BF8B-A58446D12F00}"/>
    <cellStyle name="Normal 2 12" xfId="3" xr:uid="{45F65235-D49D-4588-928B-78307C5BD61B}"/>
    <cellStyle name="Normal 2 12 2" xfId="28" xr:uid="{1D8B82A3-B0CD-4714-B33E-13A7AEB4C579}"/>
    <cellStyle name="Normal 2 2" xfId="11" xr:uid="{AD369875-CC1F-432C-909F-F19AFA256CD1}"/>
    <cellStyle name="Normal 2 2 2 2" xfId="10" xr:uid="{FDAFF4A3-E2DE-420A-A2FF-EC7062D714CF}"/>
    <cellStyle name="Normal 2 3" xfId="20" xr:uid="{E57256AD-3FDD-46D8-AED8-814C5027D22C}"/>
    <cellStyle name="Normal 2 5" xfId="14" xr:uid="{7CED82DD-6B0D-4F2E-BE76-5AE0C059A149}"/>
    <cellStyle name="Normal 3" xfId="4" xr:uid="{4C0CDB01-6437-4D12-B304-2B700A91E263}"/>
    <cellStyle name="Normal 3 10" xfId="22" xr:uid="{D7B9BAC9-ADAA-4718-949F-A588F7604141}"/>
    <cellStyle name="Normal 3 2" xfId="16" xr:uid="{47BF0F56-8A4E-4EB1-A76C-6ED27F3962C3}"/>
    <cellStyle name="Normal 3 2 2" xfId="21" xr:uid="{B6B550E6-15C7-48E5-9AAC-E8A6866856D9}"/>
    <cellStyle name="Normal 39 9" xfId="17" xr:uid="{CD7ECA4A-2C3A-4B23-AA4A-D9652F8AC9E8}"/>
    <cellStyle name="Normal 4" xfId="18" xr:uid="{7F0533C3-CC03-496D-AA49-C1E5084FE938}"/>
    <cellStyle name="Normal 5" xfId="9" xr:uid="{191FEB95-2F1C-49E4-BF83-0707315C7AB5}"/>
    <cellStyle name="Normal 5 3" xfId="15" xr:uid="{BB7F8095-DDC0-4589-A093-E3E2CE034CED}"/>
    <cellStyle name="Normal 6" xfId="8" xr:uid="{7A4BD534-C035-4E40-9D1A-98264385F07D}"/>
    <cellStyle name="Normal 6 11" xfId="13" xr:uid="{15F41F5B-2142-44DB-A3BF-F60EA7792A01}"/>
    <cellStyle name="Normal 7" xfId="23" xr:uid="{8ADB24A4-718C-4B3F-85DB-F4E4AF1F1357}"/>
    <cellStyle name="Normal 7 9" xfId="26" xr:uid="{CFBC25EF-963C-4F51-A3EF-716DDFBEB81C}"/>
    <cellStyle name="Normal 99" xfId="24" xr:uid="{F072C0E1-FAFA-4931-8C7A-9C066BCA55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lzandberga/Desktop/KARINAM/Covid_zinojums_prec_171222/VMzino_p_1712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ā"/>
      <sheetName val="1.2. Testēšana"/>
      <sheetName val="1.3. Rehabilitācija"/>
      <sheetName val="1.4.Dinamiska novērošana"/>
      <sheetName val="1.5.Epid.drošība +IAL"/>
    </sheetNames>
    <sheetDataSet>
      <sheetData sheetId="0" refreshError="1"/>
      <sheetData sheetId="1"/>
      <sheetData sheetId="2">
        <row r="18">
          <cell r="H18">
            <v>428447</v>
          </cell>
        </row>
      </sheetData>
      <sheetData sheetId="3">
        <row r="11">
          <cell r="B11">
            <v>320299</v>
          </cell>
        </row>
      </sheetData>
      <sheetData sheetId="4">
        <row r="37">
          <cell r="E37">
            <v>339210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8EFA-723F-4F04-A3B9-600EA10B87B0}">
  <dimension ref="A1:E15"/>
  <sheetViews>
    <sheetView tabSelected="1" zoomScale="70" zoomScaleNormal="70" workbookViewId="0">
      <pane ySplit="7" topLeftCell="A65" activePane="bottomLeft" state="frozen"/>
      <selection pane="bottomLeft" activeCell="M9" sqref="M9"/>
    </sheetView>
  </sheetViews>
  <sheetFormatPr defaultRowHeight="14.5" x14ac:dyDescent="0.35"/>
  <cols>
    <col min="2" max="2" width="53.81640625" customWidth="1"/>
    <col min="3" max="3" width="36.1796875" customWidth="1"/>
    <col min="4" max="4" width="29.7265625" customWidth="1"/>
    <col min="5" max="5" width="27.81640625" customWidth="1"/>
  </cols>
  <sheetData>
    <row r="1" spans="1:5" ht="15.5" x14ac:dyDescent="0.35">
      <c r="E1" s="56" t="s">
        <v>65</v>
      </c>
    </row>
    <row r="2" spans="1:5" ht="66.75" customHeight="1" x14ac:dyDescent="0.35">
      <c r="E2" s="57" t="s">
        <v>107</v>
      </c>
    </row>
    <row r="3" spans="1:5" ht="57" customHeight="1" x14ac:dyDescent="0.35">
      <c r="B3" s="132" t="s">
        <v>75</v>
      </c>
      <c r="C3" s="132"/>
      <c r="D3" s="132"/>
      <c r="E3" s="132"/>
    </row>
    <row r="4" spans="1:5" ht="17.5" x14ac:dyDescent="0.35">
      <c r="A4" s="69"/>
      <c r="B4" s="123"/>
      <c r="C4" s="124"/>
      <c r="D4" s="124"/>
    </row>
    <row r="5" spans="1:5" ht="140.25" customHeight="1" x14ac:dyDescent="0.35">
      <c r="A5" s="1"/>
      <c r="B5" s="1"/>
      <c r="C5" s="77" t="s">
        <v>122</v>
      </c>
      <c r="D5" s="93" t="s">
        <v>123</v>
      </c>
      <c r="E5" s="122" t="s">
        <v>124</v>
      </c>
    </row>
    <row r="6" spans="1:5" ht="63.75" customHeight="1" x14ac:dyDescent="0.35">
      <c r="A6" s="1"/>
      <c r="B6" s="1"/>
      <c r="C6" s="94" t="s">
        <v>78</v>
      </c>
      <c r="D6" s="94" t="s">
        <v>76</v>
      </c>
      <c r="E6" s="127" t="s">
        <v>114</v>
      </c>
    </row>
    <row r="7" spans="1:5" ht="28.5" customHeight="1" x14ac:dyDescent="0.35">
      <c r="A7" s="47" t="s">
        <v>57</v>
      </c>
      <c r="B7" s="73" t="s">
        <v>58</v>
      </c>
      <c r="C7" s="74" t="s">
        <v>59</v>
      </c>
      <c r="D7" s="74" t="s">
        <v>59</v>
      </c>
      <c r="E7" s="74" t="s">
        <v>59</v>
      </c>
    </row>
    <row r="8" spans="1:5" ht="39" customHeight="1" x14ac:dyDescent="0.35">
      <c r="A8" s="47"/>
      <c r="B8" s="91" t="s">
        <v>62</v>
      </c>
      <c r="C8" s="125"/>
      <c r="D8" s="125"/>
      <c r="E8" s="1"/>
    </row>
    <row r="9" spans="1:5" ht="62" x14ac:dyDescent="0.35">
      <c r="A9" s="47">
        <v>1</v>
      </c>
      <c r="B9" s="75" t="s">
        <v>71</v>
      </c>
      <c r="C9" s="125">
        <f>'1.2. Testēšana'!E47*3</f>
        <v>3179094</v>
      </c>
      <c r="D9" s="125">
        <f>C9/3*9</f>
        <v>9537282</v>
      </c>
      <c r="E9" s="125">
        <f>C9+D9</f>
        <v>12716376</v>
      </c>
    </row>
    <row r="10" spans="1:5" ht="15.5" x14ac:dyDescent="0.35">
      <c r="A10" s="47"/>
      <c r="B10" s="92" t="s">
        <v>63</v>
      </c>
      <c r="C10" s="125"/>
      <c r="D10" s="125"/>
      <c r="E10" s="125"/>
    </row>
    <row r="11" spans="1:5" ht="15.5" x14ac:dyDescent="0.35">
      <c r="A11" s="47">
        <v>2</v>
      </c>
      <c r="B11" s="90" t="s">
        <v>64</v>
      </c>
      <c r="C11" s="125">
        <f>'1.3. Rehabilitācija'!H18*3</f>
        <v>1285341</v>
      </c>
      <c r="D11" s="125">
        <f>'[8]1.3. Rehabilitācija'!H18*9</f>
        <v>3856023</v>
      </c>
      <c r="E11" s="125">
        <f t="shared" ref="E11:E13" si="0">C11+D11</f>
        <v>5141364</v>
      </c>
    </row>
    <row r="12" spans="1:5" ht="15.5" x14ac:dyDescent="0.35">
      <c r="A12" s="47">
        <v>3</v>
      </c>
      <c r="B12" s="76" t="s">
        <v>60</v>
      </c>
      <c r="C12" s="125">
        <f>'1.4.Dinamiska novērošana'!B11*3</f>
        <v>960897</v>
      </c>
      <c r="D12" s="125">
        <f>'[8]1.4.Dinamiska novērošana'!B11*9</f>
        <v>2882691</v>
      </c>
      <c r="E12" s="125">
        <f t="shared" si="0"/>
        <v>3843588</v>
      </c>
    </row>
    <row r="13" spans="1:5" s="71" customFormat="1" ht="81" customHeight="1" x14ac:dyDescent="0.35">
      <c r="A13" s="72">
        <v>4</v>
      </c>
      <c r="B13" s="72" t="s">
        <v>72</v>
      </c>
      <c r="C13" s="125">
        <f>'1.5.Epid.drošība +IAL'!E37*3</f>
        <v>1017630</v>
      </c>
      <c r="D13" s="125">
        <f>'[8]1.5.Epid.drošība +IAL'!E37*9</f>
        <v>3052890</v>
      </c>
      <c r="E13" s="125">
        <f t="shared" si="0"/>
        <v>4070520</v>
      </c>
    </row>
    <row r="14" spans="1:5" s="71" customFormat="1" ht="40.5" customHeight="1" x14ac:dyDescent="0.35">
      <c r="A14" s="72"/>
      <c r="B14" s="126" t="s">
        <v>115</v>
      </c>
      <c r="C14" s="128">
        <f>C9+C11+C12+C13</f>
        <v>6442962</v>
      </c>
      <c r="D14" s="128">
        <f>D9+D11+D12+D13</f>
        <v>19328886</v>
      </c>
      <c r="E14" s="128">
        <f t="shared" ref="E14" si="1">E9+E11+E12+E13</f>
        <v>25771848</v>
      </c>
    </row>
    <row r="15" spans="1:5" ht="52.5" x14ac:dyDescent="0.35">
      <c r="B15" s="126" t="s">
        <v>116</v>
      </c>
      <c r="C15" s="54"/>
      <c r="D15" s="54"/>
      <c r="E15" s="54">
        <v>22443949</v>
      </c>
    </row>
  </sheetData>
  <mergeCells count="1">
    <mergeCell ref="B3:E3"/>
  </mergeCells>
  <pageMargins left="0.7" right="0.7" top="0.75" bottom="0.75" header="0.3" footer="0.3"/>
  <pageSetup scale="26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CE484-621A-4C57-9E1B-070F3D3969AD}">
  <sheetPr>
    <tabColor rgb="FFFFFF00"/>
  </sheetPr>
  <dimension ref="A1:G49"/>
  <sheetViews>
    <sheetView zoomScale="90" zoomScaleNormal="90" workbookViewId="0">
      <selection activeCell="B2" sqref="B2"/>
    </sheetView>
  </sheetViews>
  <sheetFormatPr defaultRowHeight="14.5" x14ac:dyDescent="0.35"/>
  <cols>
    <col min="2" max="2" width="48.1796875" customWidth="1"/>
    <col min="3" max="3" width="15.26953125" customWidth="1"/>
    <col min="4" max="4" width="17.26953125" customWidth="1"/>
    <col min="5" max="5" width="16.81640625" style="15" customWidth="1"/>
    <col min="6" max="6" width="23.26953125" customWidth="1"/>
    <col min="7" max="7" width="20.81640625" customWidth="1"/>
  </cols>
  <sheetData>
    <row r="1" spans="1:5" ht="15.5" x14ac:dyDescent="0.35">
      <c r="B1" s="70"/>
      <c r="E1" s="56" t="s">
        <v>66</v>
      </c>
    </row>
    <row r="2" spans="1:5" ht="17.5" x14ac:dyDescent="0.35">
      <c r="B2" s="48" t="s">
        <v>61</v>
      </c>
    </row>
    <row r="4" spans="1:5" x14ac:dyDescent="0.35">
      <c r="A4" s="2"/>
    </row>
    <row r="5" spans="1:5" ht="14.5" customHeight="1" x14ac:dyDescent="0.35">
      <c r="A5" s="134" t="s">
        <v>73</v>
      </c>
      <c r="B5" s="135"/>
      <c r="C5" s="135"/>
      <c r="D5" s="135"/>
      <c r="E5" s="136"/>
    </row>
    <row r="6" spans="1:5" ht="42.5" x14ac:dyDescent="0.35">
      <c r="A6" s="16" t="s">
        <v>15</v>
      </c>
      <c r="B6" s="13" t="s">
        <v>14</v>
      </c>
      <c r="C6" s="19" t="s">
        <v>121</v>
      </c>
      <c r="D6" s="20" t="s">
        <v>54</v>
      </c>
      <c r="E6" s="37" t="s">
        <v>120</v>
      </c>
    </row>
    <row r="7" spans="1:5" x14ac:dyDescent="0.35">
      <c r="A7" s="137" t="s">
        <v>16</v>
      </c>
      <c r="B7" s="138"/>
      <c r="C7" s="49"/>
      <c r="D7" s="50"/>
      <c r="E7" s="51"/>
    </row>
    <row r="8" spans="1:5" ht="26" x14ac:dyDescent="0.35">
      <c r="A8" s="19">
        <v>47073</v>
      </c>
      <c r="B8" s="18" t="s">
        <v>0</v>
      </c>
      <c r="C8" s="19">
        <f>4735+5245</f>
        <v>9980</v>
      </c>
      <c r="D8" s="19">
        <v>23.32</v>
      </c>
      <c r="E8" s="78">
        <f>C8*D8</f>
        <v>232733.6</v>
      </c>
    </row>
    <row r="9" spans="1:5" ht="42.75" customHeight="1" x14ac:dyDescent="0.35">
      <c r="A9" s="19">
        <v>47075</v>
      </c>
      <c r="B9" s="18" t="s">
        <v>83</v>
      </c>
      <c r="C9" s="19">
        <v>30</v>
      </c>
      <c r="D9" s="19">
        <v>24.59</v>
      </c>
      <c r="E9" s="78">
        <f t="shared" ref="E9:E15" si="0">C9*D9</f>
        <v>737.7</v>
      </c>
    </row>
    <row r="10" spans="1:5" ht="39" x14ac:dyDescent="0.35">
      <c r="A10" s="19">
        <v>47078</v>
      </c>
      <c r="B10" s="18" t="s">
        <v>17</v>
      </c>
      <c r="C10" s="19">
        <f>205+2612</f>
        <v>2817</v>
      </c>
      <c r="D10" s="19">
        <v>44.25</v>
      </c>
      <c r="E10" s="78">
        <f t="shared" si="0"/>
        <v>124652.25</v>
      </c>
    </row>
    <row r="11" spans="1:5" ht="26" x14ac:dyDescent="0.35">
      <c r="A11" s="19">
        <v>47079</v>
      </c>
      <c r="B11" s="18" t="s">
        <v>2</v>
      </c>
      <c r="C11" s="19">
        <v>5958</v>
      </c>
      <c r="D11" s="19">
        <v>0.8</v>
      </c>
      <c r="E11" s="78">
        <f t="shared" si="0"/>
        <v>4766.4000000000005</v>
      </c>
    </row>
    <row r="12" spans="1:5" ht="26" x14ac:dyDescent="0.35">
      <c r="A12" s="19">
        <v>47268</v>
      </c>
      <c r="B12" s="18" t="s">
        <v>3</v>
      </c>
      <c r="C12" s="19">
        <f>499+6075</f>
        <v>6574</v>
      </c>
      <c r="D12" s="19">
        <v>4.5199999999999996</v>
      </c>
      <c r="E12" s="78">
        <f t="shared" si="0"/>
        <v>29714.479999999996</v>
      </c>
    </row>
    <row r="13" spans="1:5" ht="26" x14ac:dyDescent="0.35">
      <c r="A13" s="19">
        <v>47416</v>
      </c>
      <c r="B13" s="18" t="s">
        <v>1</v>
      </c>
      <c r="C13" s="19">
        <f>1812+308</f>
        <v>2120</v>
      </c>
      <c r="D13" s="21">
        <v>2.29</v>
      </c>
      <c r="E13" s="78">
        <f t="shared" si="0"/>
        <v>4854.8</v>
      </c>
    </row>
    <row r="14" spans="1:5" ht="26" x14ac:dyDescent="0.35">
      <c r="A14" s="19">
        <v>60046</v>
      </c>
      <c r="B14" s="18" t="s">
        <v>19</v>
      </c>
      <c r="C14" s="19">
        <f>124+551</f>
        <v>675</v>
      </c>
      <c r="D14" s="19">
        <v>0.8</v>
      </c>
      <c r="E14" s="78">
        <f t="shared" si="0"/>
        <v>540</v>
      </c>
    </row>
    <row r="15" spans="1:5" ht="26" x14ac:dyDescent="0.35">
      <c r="A15" s="79">
        <v>47328</v>
      </c>
      <c r="B15" s="88" t="s">
        <v>18</v>
      </c>
      <c r="C15" s="19">
        <v>1694</v>
      </c>
      <c r="D15" s="19">
        <v>3.83</v>
      </c>
      <c r="E15" s="78">
        <f t="shared" si="0"/>
        <v>6488.02</v>
      </c>
    </row>
    <row r="16" spans="1:5" x14ac:dyDescent="0.35">
      <c r="A16" s="79"/>
      <c r="B16" s="80"/>
      <c r="C16" s="19"/>
      <c r="D16" s="19"/>
      <c r="E16" s="81">
        <f>SUM(E8:E15)</f>
        <v>404487.25000000006</v>
      </c>
    </row>
    <row r="17" spans="1:7" hidden="1" x14ac:dyDescent="0.35">
      <c r="A17" s="139" t="s">
        <v>20</v>
      </c>
      <c r="B17" s="140"/>
      <c r="C17" s="52"/>
      <c r="D17" s="52"/>
      <c r="E17" s="82"/>
    </row>
    <row r="18" spans="1:7" ht="26" hidden="1" x14ac:dyDescent="0.35">
      <c r="A18" s="19">
        <v>47073</v>
      </c>
      <c r="B18" s="88" t="s">
        <v>0</v>
      </c>
      <c r="C18" s="19">
        <f>74036-4735</f>
        <v>69301</v>
      </c>
      <c r="D18" s="19">
        <v>23.32</v>
      </c>
      <c r="E18" s="78">
        <f>C18*D18</f>
        <v>1616099.32</v>
      </c>
    </row>
    <row r="19" spans="1:7" ht="26" hidden="1" x14ac:dyDescent="0.35">
      <c r="A19" s="19">
        <v>47075</v>
      </c>
      <c r="B19" s="88" t="s">
        <v>21</v>
      </c>
      <c r="C19" s="19">
        <f>18304-30</f>
        <v>18274</v>
      </c>
      <c r="D19" s="19">
        <v>24.59</v>
      </c>
      <c r="E19" s="78">
        <f t="shared" ref="E19:E23" si="1">C19*D19</f>
        <v>449357.66</v>
      </c>
    </row>
    <row r="20" spans="1:7" ht="39" hidden="1" x14ac:dyDescent="0.35">
      <c r="A20" s="19">
        <v>47078</v>
      </c>
      <c r="B20" s="88" t="s">
        <v>17</v>
      </c>
      <c r="C20" s="19">
        <f>702-205</f>
        <v>497</v>
      </c>
      <c r="D20" s="19">
        <v>44.25</v>
      </c>
      <c r="E20" s="78">
        <f t="shared" si="1"/>
        <v>21992.25</v>
      </c>
    </row>
    <row r="21" spans="1:7" ht="26" hidden="1" x14ac:dyDescent="0.35">
      <c r="A21" s="19">
        <v>47079</v>
      </c>
      <c r="B21" s="88" t="s">
        <v>2</v>
      </c>
      <c r="C21" s="19">
        <f>45974-5958</f>
        <v>40016</v>
      </c>
      <c r="D21" s="21">
        <v>0.8</v>
      </c>
      <c r="E21" s="78">
        <f t="shared" si="1"/>
        <v>32012.800000000003</v>
      </c>
    </row>
    <row r="22" spans="1:7" ht="30.75" hidden="1" customHeight="1" x14ac:dyDescent="0.35">
      <c r="A22" s="19">
        <v>47268</v>
      </c>
      <c r="B22" s="88" t="s">
        <v>3</v>
      </c>
      <c r="C22" s="19">
        <f>24450-499</f>
        <v>23951</v>
      </c>
      <c r="D22" s="19">
        <v>4.5199999999999996</v>
      </c>
      <c r="E22" s="78">
        <f t="shared" si="1"/>
        <v>108258.51999999999</v>
      </c>
    </row>
    <row r="23" spans="1:7" ht="26" hidden="1" x14ac:dyDescent="0.35">
      <c r="A23" s="19">
        <v>47416</v>
      </c>
      <c r="B23" s="88" t="s">
        <v>1</v>
      </c>
      <c r="C23" s="19">
        <f>3111-308+33835</f>
        <v>36638</v>
      </c>
      <c r="D23" s="19">
        <v>2.29</v>
      </c>
      <c r="E23" s="78">
        <f t="shared" si="1"/>
        <v>83901.02</v>
      </c>
    </row>
    <row r="24" spans="1:7" hidden="1" x14ac:dyDescent="0.35">
      <c r="A24" s="19"/>
      <c r="B24" s="19"/>
      <c r="C24" s="19"/>
      <c r="D24" s="19"/>
      <c r="E24" s="81">
        <f>SUM(E18:E23)</f>
        <v>2311621.5699999998</v>
      </c>
      <c r="G24" s="15"/>
    </row>
    <row r="25" spans="1:7" x14ac:dyDescent="0.35">
      <c r="A25" s="141" t="s">
        <v>22</v>
      </c>
      <c r="B25" s="141"/>
      <c r="C25" s="52"/>
      <c r="D25" s="52"/>
      <c r="E25" s="82"/>
    </row>
    <row r="26" spans="1:7" ht="26" x14ac:dyDescent="0.35">
      <c r="A26" s="19">
        <v>47268</v>
      </c>
      <c r="B26" s="18" t="s">
        <v>3</v>
      </c>
      <c r="C26" s="19">
        <f>16177+3515</f>
        <v>19692</v>
      </c>
      <c r="D26" s="19">
        <v>4.5199999999999996</v>
      </c>
      <c r="E26" s="78">
        <f>C26*D26</f>
        <v>89007.84</v>
      </c>
    </row>
    <row r="27" spans="1:7" ht="39" x14ac:dyDescent="0.35">
      <c r="A27" s="19">
        <v>47078</v>
      </c>
      <c r="B27" s="18" t="s">
        <v>17</v>
      </c>
      <c r="C27" s="19">
        <v>1156</v>
      </c>
      <c r="D27" s="19">
        <v>44.25</v>
      </c>
      <c r="E27" s="78">
        <f t="shared" ref="E27:E28" si="2">C27*D27</f>
        <v>51153</v>
      </c>
    </row>
    <row r="28" spans="1:7" ht="26" x14ac:dyDescent="0.35">
      <c r="A28" s="19">
        <v>47328</v>
      </c>
      <c r="B28" s="18" t="s">
        <v>18</v>
      </c>
      <c r="C28" s="19">
        <v>301</v>
      </c>
      <c r="D28" s="21">
        <v>3.83</v>
      </c>
      <c r="E28" s="78">
        <f t="shared" si="2"/>
        <v>1152.83</v>
      </c>
    </row>
    <row r="29" spans="1:7" x14ac:dyDescent="0.35">
      <c r="A29" s="19"/>
      <c r="B29" s="18"/>
      <c r="C29" s="19"/>
      <c r="D29" s="21"/>
      <c r="E29" s="81">
        <f>SUM(E26:E28)</f>
        <v>141313.66999999998</v>
      </c>
    </row>
    <row r="30" spans="1:7" x14ac:dyDescent="0.35">
      <c r="A30" s="133" t="s">
        <v>23</v>
      </c>
      <c r="B30" s="133"/>
      <c r="C30" s="53"/>
      <c r="D30" s="53"/>
      <c r="E30" s="83"/>
    </row>
    <row r="31" spans="1:7" ht="31.5" customHeight="1" x14ac:dyDescent="0.35">
      <c r="A31" s="84" t="s">
        <v>24</v>
      </c>
      <c r="B31" s="18" t="s">
        <v>84</v>
      </c>
      <c r="C31" s="19">
        <v>1728</v>
      </c>
      <c r="D31" s="21">
        <v>207.43</v>
      </c>
      <c r="E31" s="78">
        <f>C31*D31</f>
        <v>358439.04000000004</v>
      </c>
    </row>
    <row r="32" spans="1:7" ht="42.5" x14ac:dyDescent="0.35">
      <c r="A32" s="84" t="s">
        <v>24</v>
      </c>
      <c r="B32" s="18" t="s">
        <v>85</v>
      </c>
      <c r="C32" s="19">
        <v>2950</v>
      </c>
      <c r="D32" s="21">
        <v>9.68</v>
      </c>
      <c r="E32" s="78">
        <f t="shared" ref="E32:E40" si="3">C32*D32</f>
        <v>28556</v>
      </c>
    </row>
    <row r="33" spans="1:7" ht="26" x14ac:dyDescent="0.35">
      <c r="A33" s="95" t="s">
        <v>86</v>
      </c>
      <c r="B33" s="18" t="s">
        <v>87</v>
      </c>
      <c r="C33" s="19">
        <v>561</v>
      </c>
      <c r="D33" s="21">
        <v>24.59</v>
      </c>
      <c r="E33" s="78">
        <f t="shared" si="3"/>
        <v>13794.99</v>
      </c>
      <c r="G33" s="15"/>
    </row>
    <row r="34" spans="1:7" ht="39" x14ac:dyDescent="0.35">
      <c r="A34" s="95" t="s">
        <v>88</v>
      </c>
      <c r="B34" s="18" t="s">
        <v>89</v>
      </c>
      <c r="C34" s="19">
        <v>1</v>
      </c>
      <c r="D34" s="21">
        <v>13.49</v>
      </c>
      <c r="E34" s="78">
        <f t="shared" si="3"/>
        <v>13.49</v>
      </c>
      <c r="G34" s="15"/>
    </row>
    <row r="35" spans="1:7" ht="39" x14ac:dyDescent="0.35">
      <c r="A35" s="95" t="s">
        <v>90</v>
      </c>
      <c r="B35" s="18" t="s">
        <v>91</v>
      </c>
      <c r="C35" s="19">
        <v>166</v>
      </c>
      <c r="D35" s="21">
        <v>13.49</v>
      </c>
      <c r="E35" s="78">
        <f t="shared" si="3"/>
        <v>2239.34</v>
      </c>
      <c r="G35" s="15"/>
    </row>
    <row r="36" spans="1:7" ht="39" x14ac:dyDescent="0.35">
      <c r="A36" s="95" t="s">
        <v>92</v>
      </c>
      <c r="B36" s="18" t="s">
        <v>93</v>
      </c>
      <c r="C36" s="19">
        <v>171</v>
      </c>
      <c r="D36" s="21">
        <v>13.49</v>
      </c>
      <c r="E36" s="78">
        <f t="shared" si="3"/>
        <v>2306.79</v>
      </c>
      <c r="G36" s="15"/>
    </row>
    <row r="37" spans="1:7" ht="39" x14ac:dyDescent="0.35">
      <c r="A37" s="95" t="s">
        <v>94</v>
      </c>
      <c r="B37" s="18" t="s">
        <v>95</v>
      </c>
      <c r="C37" s="19">
        <v>109</v>
      </c>
      <c r="D37" s="21">
        <v>20.65</v>
      </c>
      <c r="E37" s="78">
        <f t="shared" si="3"/>
        <v>2250.85</v>
      </c>
      <c r="G37" s="15"/>
    </row>
    <row r="38" spans="1:7" ht="26" x14ac:dyDescent="0.35">
      <c r="A38" s="95" t="s">
        <v>96</v>
      </c>
      <c r="B38" s="18" t="s">
        <v>97</v>
      </c>
      <c r="C38" s="19">
        <v>1</v>
      </c>
      <c r="D38" s="21">
        <v>6.96</v>
      </c>
      <c r="E38" s="78">
        <f t="shared" si="3"/>
        <v>6.96</v>
      </c>
      <c r="G38" s="15"/>
    </row>
    <row r="39" spans="1:7" ht="26" x14ac:dyDescent="0.35">
      <c r="A39" s="95" t="s">
        <v>98</v>
      </c>
      <c r="B39" s="18" t="s">
        <v>99</v>
      </c>
      <c r="C39" s="19">
        <v>157</v>
      </c>
      <c r="D39" s="21">
        <v>1.35</v>
      </c>
      <c r="E39" s="78">
        <f t="shared" si="3"/>
        <v>211.95000000000002</v>
      </c>
      <c r="G39" s="15"/>
    </row>
    <row r="40" spans="1:7" ht="42.75" customHeight="1" x14ac:dyDescent="0.35">
      <c r="A40" s="95" t="s">
        <v>100</v>
      </c>
      <c r="B40" s="18" t="s">
        <v>101</v>
      </c>
      <c r="C40" s="19">
        <v>73</v>
      </c>
      <c r="D40" s="21">
        <v>171.46</v>
      </c>
      <c r="E40" s="78">
        <f t="shared" si="3"/>
        <v>12516.58</v>
      </c>
      <c r="G40" s="15"/>
    </row>
    <row r="41" spans="1:7" x14ac:dyDescent="0.35">
      <c r="A41" s="19"/>
      <c r="B41" s="18"/>
      <c r="C41" s="19"/>
      <c r="D41" s="21"/>
      <c r="E41" s="81">
        <f>SUM(E31:E40)</f>
        <v>420335.99000000005</v>
      </c>
    </row>
    <row r="42" spans="1:7" x14ac:dyDescent="0.35">
      <c r="A42" s="133" t="s">
        <v>102</v>
      </c>
      <c r="B42" s="133"/>
      <c r="C42" s="119"/>
      <c r="D42" s="133"/>
      <c r="E42" s="133"/>
    </row>
    <row r="43" spans="1:7" ht="60" customHeight="1" x14ac:dyDescent="0.35">
      <c r="A43" s="19">
        <v>47329</v>
      </c>
      <c r="B43" s="18" t="s">
        <v>103</v>
      </c>
      <c r="C43" s="19">
        <f>428+526</f>
        <v>954</v>
      </c>
      <c r="D43" s="21">
        <v>16.38</v>
      </c>
      <c r="E43" s="78">
        <f>C43*D43</f>
        <v>15626.519999999999</v>
      </c>
      <c r="G43" s="96"/>
    </row>
    <row r="44" spans="1:7" ht="57.75" customHeight="1" x14ac:dyDescent="0.35">
      <c r="A44" s="19">
        <v>47330</v>
      </c>
      <c r="B44" s="18" t="s">
        <v>104</v>
      </c>
      <c r="C44" s="19">
        <v>954</v>
      </c>
      <c r="D44" s="21">
        <v>52</v>
      </c>
      <c r="E44" s="78">
        <f>C44*D44</f>
        <v>49608</v>
      </c>
    </row>
    <row r="45" spans="1:7" x14ac:dyDescent="0.35">
      <c r="A45" s="19"/>
      <c r="B45" s="18"/>
      <c r="C45" s="19"/>
      <c r="D45" s="21"/>
      <c r="E45" s="81">
        <f>E44+E43</f>
        <v>65234.52</v>
      </c>
    </row>
    <row r="46" spans="1:7" x14ac:dyDescent="0.35">
      <c r="A46" s="133" t="s">
        <v>105</v>
      </c>
      <c r="B46" s="133"/>
      <c r="C46" s="97"/>
      <c r="D46" s="97"/>
      <c r="E46" s="81">
        <v>28326</v>
      </c>
    </row>
    <row r="47" spans="1:7" x14ac:dyDescent="0.35">
      <c r="A47" s="85" t="s">
        <v>25</v>
      </c>
      <c r="B47" s="85"/>
      <c r="C47" s="86"/>
      <c r="D47" s="86"/>
      <c r="E47" s="87">
        <f>ROUNDUP(E16+E29+E41+E45+E46,0)</f>
        <v>1059698</v>
      </c>
      <c r="G47" s="98"/>
    </row>
    <row r="49" spans="1:1" x14ac:dyDescent="0.35">
      <c r="A49" s="2" t="s">
        <v>74</v>
      </c>
    </row>
  </sheetData>
  <mergeCells count="8">
    <mergeCell ref="A46:B46"/>
    <mergeCell ref="A5:E5"/>
    <mergeCell ref="A7:B7"/>
    <mergeCell ref="A17:B17"/>
    <mergeCell ref="A25:B25"/>
    <mergeCell ref="A30:B30"/>
    <mergeCell ref="A42:B42"/>
    <mergeCell ref="D42:E42"/>
  </mergeCells>
  <pageMargins left="0.7" right="0.7" top="0.75" bottom="0.75" header="0.3" footer="0.3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0A774-797D-4D7B-98A6-CDD62C92C231}">
  <sheetPr codeName="Sheet6">
    <tabColor rgb="FFFFC000"/>
  </sheetPr>
  <dimension ref="A1:L22"/>
  <sheetViews>
    <sheetView zoomScale="70" zoomScaleNormal="70" workbookViewId="0">
      <selection activeCell="G23" sqref="G23"/>
    </sheetView>
  </sheetViews>
  <sheetFormatPr defaultRowHeight="14.5" x14ac:dyDescent="0.35"/>
  <cols>
    <col min="2" max="2" width="42.7265625" customWidth="1"/>
    <col min="3" max="3" width="18.81640625" customWidth="1"/>
    <col min="4" max="4" width="18.26953125" customWidth="1"/>
    <col min="5" max="5" width="21.54296875" customWidth="1"/>
    <col min="6" max="8" width="21.453125" customWidth="1"/>
    <col min="10" max="10" width="11.1796875" customWidth="1"/>
    <col min="12" max="12" width="10" bestFit="1" customWidth="1"/>
  </cols>
  <sheetData>
    <row r="1" spans="1:12" ht="15.5" x14ac:dyDescent="0.35">
      <c r="H1" s="56" t="s">
        <v>67</v>
      </c>
    </row>
    <row r="2" spans="1:12" ht="15.5" x14ac:dyDescent="0.35">
      <c r="A2" s="142" t="s">
        <v>119</v>
      </c>
      <c r="B2" s="142"/>
      <c r="C2" s="142"/>
      <c r="D2" s="142"/>
      <c r="E2" s="142"/>
      <c r="F2" s="142"/>
      <c r="G2" s="68"/>
      <c r="H2" s="68"/>
    </row>
    <row r="3" spans="1:12" ht="15.5" x14ac:dyDescent="0.35">
      <c r="A3" s="68"/>
      <c r="B3" s="68"/>
      <c r="C3" s="68"/>
      <c r="D3" s="68"/>
      <c r="E3" s="68"/>
      <c r="F3" s="68"/>
      <c r="G3" s="68"/>
      <c r="H3" s="68"/>
    </row>
    <row r="4" spans="1:12" ht="15" thickBot="1" x14ac:dyDescent="0.4">
      <c r="B4" s="70"/>
    </row>
    <row r="5" spans="1:12" ht="39" x14ac:dyDescent="0.35">
      <c r="B5" s="4" t="s">
        <v>4</v>
      </c>
      <c r="C5" s="5" t="s">
        <v>79</v>
      </c>
      <c r="D5" s="5" t="s">
        <v>80</v>
      </c>
      <c r="E5" s="5" t="s">
        <v>5</v>
      </c>
      <c r="F5" s="5" t="s">
        <v>6</v>
      </c>
      <c r="G5" s="5" t="s">
        <v>55</v>
      </c>
      <c r="H5" s="6" t="s">
        <v>56</v>
      </c>
    </row>
    <row r="6" spans="1:12" ht="25" x14ac:dyDescent="0.35">
      <c r="B6" s="100" t="s">
        <v>7</v>
      </c>
      <c r="C6" s="101">
        <v>245</v>
      </c>
      <c r="D6" s="102">
        <v>46149.53</v>
      </c>
      <c r="E6" s="3">
        <f>D6/C6</f>
        <v>188.36542857142857</v>
      </c>
      <c r="F6" s="3">
        <f>C6*1.1*E6</f>
        <v>50764.483</v>
      </c>
      <c r="G6" s="43">
        <f>ROUNDUP(C6/10*1.1,0)</f>
        <v>27</v>
      </c>
      <c r="H6" s="7">
        <f>G6*E6</f>
        <v>5085.8665714285717</v>
      </c>
      <c r="I6" s="44"/>
    </row>
    <row r="7" spans="1:12" ht="25" x14ac:dyDescent="0.35">
      <c r="B7" s="100" t="s">
        <v>8</v>
      </c>
      <c r="C7" s="101">
        <v>153</v>
      </c>
      <c r="D7" s="102">
        <v>130456.1</v>
      </c>
      <c r="E7" s="3">
        <f>D7/C7</f>
        <v>852.65424836601312</v>
      </c>
      <c r="F7" s="3">
        <f>C7*1.1*E7</f>
        <v>143501.71000000002</v>
      </c>
      <c r="G7" s="43">
        <f t="shared" ref="G7:G9" si="0">ROUNDUP(C7/10*1.1,0)</f>
        <v>17</v>
      </c>
      <c r="H7" s="7">
        <f t="shared" ref="H7:H9" si="1">G7*E7</f>
        <v>14495.122222222222</v>
      </c>
      <c r="I7" s="44"/>
    </row>
    <row r="8" spans="1:12" ht="28.5" customHeight="1" x14ac:dyDescent="0.35">
      <c r="B8" s="100" t="s">
        <v>9</v>
      </c>
      <c r="C8" s="101">
        <v>1585</v>
      </c>
      <c r="D8" s="102">
        <v>1463736</v>
      </c>
      <c r="E8" s="3">
        <f>D8/C8</f>
        <v>923.49274447949529</v>
      </c>
      <c r="F8" s="3">
        <f>C8*1.1*E8</f>
        <v>1610109.6000000003</v>
      </c>
      <c r="G8" s="43">
        <f t="shared" si="0"/>
        <v>175</v>
      </c>
      <c r="H8" s="7">
        <f>G8*E8</f>
        <v>161611.23028391169</v>
      </c>
      <c r="I8" s="44"/>
    </row>
    <row r="9" spans="1:12" ht="29.25" customHeight="1" x14ac:dyDescent="0.35">
      <c r="B9" s="100" t="s">
        <v>10</v>
      </c>
      <c r="C9" s="101">
        <v>3900</v>
      </c>
      <c r="D9" s="102">
        <v>460205.1</v>
      </c>
      <c r="E9" s="3">
        <f>D9/C9</f>
        <v>118.00130769230769</v>
      </c>
      <c r="F9" s="3">
        <f>C9*1.1*E9</f>
        <v>506225.61</v>
      </c>
      <c r="G9" s="43">
        <f t="shared" si="0"/>
        <v>429</v>
      </c>
      <c r="H9" s="7">
        <f t="shared" si="1"/>
        <v>50622.561000000002</v>
      </c>
      <c r="I9" s="44"/>
    </row>
    <row r="10" spans="1:12" ht="15" thickBot="1" x14ac:dyDescent="0.4">
      <c r="B10" s="103"/>
      <c r="C10" s="104"/>
      <c r="D10" s="104"/>
      <c r="E10" s="105" t="s">
        <v>11</v>
      </c>
      <c r="F10" s="106">
        <f>ROUND(SUM(F6:F9),0)</f>
        <v>2310601</v>
      </c>
      <c r="G10" s="106"/>
      <c r="H10" s="107">
        <f>ROUND(SUM(H6:H9),0)</f>
        <v>231815</v>
      </c>
    </row>
    <row r="11" spans="1:12" x14ac:dyDescent="0.35">
      <c r="B11" s="108"/>
      <c r="C11" s="108"/>
      <c r="D11" s="108"/>
      <c r="E11" s="108"/>
      <c r="F11" s="108"/>
      <c r="G11" s="108"/>
      <c r="H11" s="108"/>
    </row>
    <row r="12" spans="1:12" x14ac:dyDescent="0.35">
      <c r="B12" s="108"/>
      <c r="C12" s="108"/>
      <c r="D12" s="108"/>
      <c r="E12" s="108"/>
      <c r="F12" s="108"/>
      <c r="G12" s="108"/>
      <c r="H12" s="108"/>
    </row>
    <row r="13" spans="1:12" ht="15" thickBot="1" x14ac:dyDescent="0.4">
      <c r="B13" s="108"/>
      <c r="C13" s="108"/>
      <c r="D13" s="108"/>
      <c r="E13" s="108"/>
      <c r="F13" s="108"/>
      <c r="G13" s="108"/>
      <c r="H13" s="108"/>
    </row>
    <row r="14" spans="1:12" ht="39" x14ac:dyDescent="0.35">
      <c r="B14" s="4" t="s">
        <v>4</v>
      </c>
      <c r="C14" s="5" t="s">
        <v>79</v>
      </c>
      <c r="D14" s="5" t="s">
        <v>80</v>
      </c>
      <c r="E14" s="5" t="s">
        <v>5</v>
      </c>
      <c r="F14" s="5" t="s">
        <v>6</v>
      </c>
      <c r="G14" s="5" t="s">
        <v>55</v>
      </c>
      <c r="H14" s="6" t="s">
        <v>56</v>
      </c>
      <c r="J14" s="99"/>
    </row>
    <row r="15" spans="1:12" ht="37.9" customHeight="1" x14ac:dyDescent="0.35">
      <c r="B15" s="100" t="s">
        <v>81</v>
      </c>
      <c r="C15" s="101">
        <v>24</v>
      </c>
      <c r="D15" s="102">
        <v>21008</v>
      </c>
      <c r="E15" s="102">
        <f>D15/C15</f>
        <v>875.33333333333337</v>
      </c>
      <c r="F15" s="3">
        <f>C15*1.1*E15</f>
        <v>23108.800000000003</v>
      </c>
      <c r="G15" s="43">
        <f>ROUNDUP(C15/10*1.1,0)</f>
        <v>3</v>
      </c>
      <c r="H15" s="7">
        <f t="shared" ref="H15:H16" si="2">G15*E15</f>
        <v>2626</v>
      </c>
      <c r="I15" s="44"/>
      <c r="J15" s="45"/>
    </row>
    <row r="16" spans="1:12" ht="30" customHeight="1" x14ac:dyDescent="0.35">
      <c r="B16" s="100" t="s">
        <v>82</v>
      </c>
      <c r="C16" s="101">
        <v>1197</v>
      </c>
      <c r="D16" s="102">
        <v>1759281</v>
      </c>
      <c r="E16" s="102">
        <f>D16/C16</f>
        <v>1469.7418546365914</v>
      </c>
      <c r="F16" s="3">
        <f>C16*1.1*E16</f>
        <v>1935209.0999999999</v>
      </c>
      <c r="G16" s="43">
        <f>ROUND(C16/10*1.1,0)</f>
        <v>132</v>
      </c>
      <c r="H16" s="7">
        <f t="shared" si="2"/>
        <v>194005.92481203005</v>
      </c>
      <c r="I16" s="44"/>
      <c r="J16" s="45"/>
      <c r="K16" s="45"/>
      <c r="L16" s="45"/>
    </row>
    <row r="17" spans="2:8" ht="15" thickBot="1" x14ac:dyDescent="0.4">
      <c r="B17" s="109" t="s">
        <v>12</v>
      </c>
      <c r="C17" s="9"/>
      <c r="D17" s="10"/>
      <c r="E17" s="11"/>
      <c r="F17" s="11">
        <f>F15+F16</f>
        <v>1958317.9</v>
      </c>
      <c r="G17" s="11"/>
      <c r="H17" s="12">
        <f>H15+H16</f>
        <v>196631.92481203005</v>
      </c>
    </row>
    <row r="18" spans="2:8" ht="15" thickBot="1" x14ac:dyDescent="0.4">
      <c r="F18" s="89"/>
      <c r="G18" s="8" t="s">
        <v>13</v>
      </c>
      <c r="H18" s="14">
        <f>ROUNDUP(H17+H10,0)</f>
        <v>428447</v>
      </c>
    </row>
    <row r="19" spans="2:8" x14ac:dyDescent="0.35">
      <c r="F19" s="45"/>
      <c r="G19" s="45"/>
      <c r="H19" s="45"/>
    </row>
    <row r="22" spans="2:8" x14ac:dyDescent="0.35">
      <c r="F22" s="46"/>
    </row>
  </sheetData>
  <mergeCells count="1">
    <mergeCell ref="A2:F2"/>
  </mergeCells>
  <pageMargins left="0.7" right="0.7" top="0.75" bottom="0.75" header="0.3" footer="0.3"/>
  <pageSetup paperSize="9" scale="29" orientation="portrait" verticalDpi="0" r:id="rId1"/>
  <colBreaks count="1" manualBreakCount="1">
    <brk id="4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4E1B8-40E5-4DC1-9D6F-78373B67110E}">
  <sheetPr>
    <tabColor theme="9"/>
  </sheetPr>
  <dimension ref="A1:E13"/>
  <sheetViews>
    <sheetView zoomScale="90" zoomScaleNormal="90" workbookViewId="0">
      <selection activeCell="G10" sqref="G10"/>
    </sheetView>
  </sheetViews>
  <sheetFormatPr defaultRowHeight="14.5" x14ac:dyDescent="0.35"/>
  <cols>
    <col min="1" max="1" width="26.1796875" customWidth="1"/>
    <col min="2" max="2" width="14.7265625" customWidth="1"/>
    <col min="5" max="5" width="25.26953125" customWidth="1"/>
    <col min="6" max="6" width="9.1796875" customWidth="1"/>
  </cols>
  <sheetData>
    <row r="1" spans="1:5" ht="15.5" x14ac:dyDescent="0.35">
      <c r="E1" s="56" t="s">
        <v>68</v>
      </c>
    </row>
    <row r="2" spans="1:5" x14ac:dyDescent="0.35">
      <c r="B2" s="110"/>
    </row>
    <row r="3" spans="1:5" x14ac:dyDescent="0.35">
      <c r="A3" s="55" t="s">
        <v>77</v>
      </c>
    </row>
    <row r="5" spans="1:5" ht="43.5" x14ac:dyDescent="0.35">
      <c r="A5" s="111" t="s">
        <v>111</v>
      </c>
      <c r="B5" s="112">
        <v>17174</v>
      </c>
      <c r="C5" s="113"/>
      <c r="D5" s="113"/>
      <c r="E5" s="113"/>
    </row>
    <row r="6" spans="1:5" ht="29" x14ac:dyDescent="0.35">
      <c r="A6" s="111" t="s">
        <v>112</v>
      </c>
      <c r="B6" s="117">
        <f>19.81-B7</f>
        <v>16.97382614625791</v>
      </c>
      <c r="C6" s="113"/>
      <c r="D6" s="113"/>
      <c r="E6" s="113"/>
    </row>
    <row r="7" spans="1:5" s="67" customFormat="1" ht="29" x14ac:dyDescent="0.35">
      <c r="A7" s="114" t="s">
        <v>108</v>
      </c>
      <c r="B7" s="118">
        <v>2.83617385374209</v>
      </c>
      <c r="C7" s="115"/>
      <c r="D7" s="115"/>
      <c r="E7" s="115"/>
    </row>
    <row r="8" spans="1:5" ht="34.5" customHeight="1" x14ac:dyDescent="0.35">
      <c r="A8" s="114" t="s">
        <v>109</v>
      </c>
      <c r="B8" s="116">
        <v>14.238945048601099</v>
      </c>
      <c r="C8" s="115"/>
      <c r="D8" s="115"/>
      <c r="E8" s="115"/>
    </row>
    <row r="9" spans="1:5" s="67" customFormat="1" ht="43.5" customHeight="1" x14ac:dyDescent="0.35">
      <c r="A9" s="114" t="s">
        <v>110</v>
      </c>
      <c r="B9" s="116">
        <f>B6+B8+B7</f>
        <v>34.048945048601098</v>
      </c>
      <c r="C9" s="115"/>
      <c r="D9" s="115"/>
      <c r="E9" s="115"/>
    </row>
    <row r="10" spans="1:5" ht="29" x14ac:dyDescent="0.35">
      <c r="A10" s="114" t="s">
        <v>125</v>
      </c>
      <c r="B10" s="116">
        <v>9407</v>
      </c>
      <c r="C10" s="115"/>
      <c r="D10" s="115"/>
      <c r="E10" s="115"/>
    </row>
    <row r="11" spans="1:5" ht="29" x14ac:dyDescent="0.35">
      <c r="A11" s="130" t="s">
        <v>127</v>
      </c>
      <c r="B11" s="131">
        <f>ROUNDUP(B10*B9,0)</f>
        <v>320299</v>
      </c>
      <c r="C11" s="115"/>
      <c r="D11" s="115"/>
      <c r="E11" s="115"/>
    </row>
    <row r="13" spans="1:5" ht="29" x14ac:dyDescent="0.35">
      <c r="A13" s="129" t="s">
        <v>126</v>
      </c>
    </row>
  </sheetData>
  <pageMargins left="0.7" right="0.7" top="0.75" bottom="0.75" header="0.3" footer="0.3"/>
  <pageSetup paperSize="9" scale="4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763AC-E1AB-4149-981A-6932A0A2B2BB}">
  <sheetPr>
    <tabColor rgb="FF7030A0"/>
  </sheetPr>
  <dimension ref="A1:H40"/>
  <sheetViews>
    <sheetView view="pageBreakPreview" zoomScale="80" zoomScaleNormal="100" zoomScaleSheetLayoutView="80" workbookViewId="0">
      <selection activeCell="E4" sqref="E4"/>
    </sheetView>
  </sheetViews>
  <sheetFormatPr defaultRowHeight="14.5" x14ac:dyDescent="0.35"/>
  <cols>
    <col min="1" max="1" width="19.54296875" customWidth="1"/>
    <col min="2" max="2" width="119" customWidth="1"/>
    <col min="3" max="3" width="12.81640625" style="15" customWidth="1"/>
    <col min="4" max="4" width="12.54296875" style="15" customWidth="1"/>
    <col min="5" max="5" width="14" style="15" customWidth="1"/>
    <col min="6" max="6" width="12" style="15" customWidth="1"/>
    <col min="7" max="7" width="13.81640625" style="15" customWidth="1"/>
    <col min="8" max="8" width="13.7265625" customWidth="1"/>
  </cols>
  <sheetData>
    <row r="1" spans="1:8" ht="21" x14ac:dyDescent="0.5">
      <c r="A1" s="144"/>
      <c r="B1" s="144"/>
      <c r="C1" s="144"/>
      <c r="D1" s="144"/>
      <c r="E1" s="56" t="s">
        <v>106</v>
      </c>
    </row>
    <row r="3" spans="1:8" ht="18.5" x14ac:dyDescent="0.35">
      <c r="B3" s="38" t="s">
        <v>117</v>
      </c>
    </row>
    <row r="4" spans="1:8" ht="42.5" x14ac:dyDescent="0.35">
      <c r="A4" s="22" t="s">
        <v>15</v>
      </c>
      <c r="B4" s="22" t="s">
        <v>14</v>
      </c>
      <c r="C4" s="26" t="s">
        <v>47</v>
      </c>
      <c r="D4" s="26" t="s">
        <v>46</v>
      </c>
      <c r="E4" s="26" t="s">
        <v>118</v>
      </c>
    </row>
    <row r="5" spans="1:8" x14ac:dyDescent="0.35">
      <c r="A5" s="145" t="s">
        <v>26</v>
      </c>
      <c r="B5" s="146"/>
      <c r="C5" s="27"/>
      <c r="D5" s="39"/>
      <c r="E5" s="39"/>
    </row>
    <row r="6" spans="1:8" ht="28" x14ac:dyDescent="0.35">
      <c r="A6" s="17">
        <v>70033</v>
      </c>
      <c r="B6" s="58" t="s">
        <v>27</v>
      </c>
      <c r="C6" s="35">
        <v>4026</v>
      </c>
      <c r="D6" s="34">
        <v>0.93</v>
      </c>
      <c r="E6" s="28">
        <f>C6*D6</f>
        <v>3744.1800000000003</v>
      </c>
      <c r="G6" s="59"/>
      <c r="H6" s="23"/>
    </row>
    <row r="7" spans="1:8" ht="28" x14ac:dyDescent="0.35">
      <c r="A7" s="17">
        <v>70034</v>
      </c>
      <c r="B7" s="58" t="s">
        <v>28</v>
      </c>
      <c r="C7" s="35">
        <v>2802</v>
      </c>
      <c r="D7" s="34">
        <v>0.56000000000000005</v>
      </c>
      <c r="E7" s="28">
        <f t="shared" ref="E7" si="0">C7*D7</f>
        <v>1569.1200000000001</v>
      </c>
      <c r="G7" s="59"/>
      <c r="H7" s="23"/>
    </row>
    <row r="8" spans="1:8" ht="28" x14ac:dyDescent="0.35">
      <c r="A8" s="17">
        <v>70035</v>
      </c>
      <c r="B8" s="40" t="s">
        <v>28</v>
      </c>
      <c r="C8" s="35">
        <v>21826</v>
      </c>
      <c r="D8" s="34">
        <v>0.3</v>
      </c>
      <c r="E8" s="28">
        <f>C8*D8</f>
        <v>6547.8</v>
      </c>
    </row>
    <row r="9" spans="1:8" ht="28" x14ac:dyDescent="0.35">
      <c r="A9" s="17">
        <v>70036</v>
      </c>
      <c r="B9" s="40" t="s">
        <v>29</v>
      </c>
      <c r="C9" s="35">
        <v>10477</v>
      </c>
      <c r="D9" s="34">
        <v>0.2</v>
      </c>
      <c r="E9" s="28">
        <f>C9*D9</f>
        <v>2095.4</v>
      </c>
    </row>
    <row r="10" spans="1:8" x14ac:dyDescent="0.35">
      <c r="A10" s="17"/>
      <c r="B10" s="17"/>
      <c r="C10" s="35"/>
      <c r="D10" s="34"/>
      <c r="E10" s="32">
        <f>SUM(E6:E9)</f>
        <v>13956.5</v>
      </c>
    </row>
    <row r="11" spans="1:8" x14ac:dyDescent="0.35">
      <c r="A11" s="143" t="s">
        <v>30</v>
      </c>
      <c r="B11" s="143"/>
      <c r="C11" s="35"/>
      <c r="D11" s="34"/>
      <c r="E11" s="28"/>
    </row>
    <row r="12" spans="1:8" x14ac:dyDescent="0.35">
      <c r="A12" s="17">
        <v>60160</v>
      </c>
      <c r="B12" s="40" t="s">
        <v>31</v>
      </c>
      <c r="C12" s="35">
        <v>10</v>
      </c>
      <c r="D12" s="34">
        <v>8.67</v>
      </c>
      <c r="E12" s="28">
        <f>C12*D12</f>
        <v>86.7</v>
      </c>
    </row>
    <row r="13" spans="1:8" x14ac:dyDescent="0.35">
      <c r="A13" s="17">
        <v>60161</v>
      </c>
      <c r="B13" s="40" t="s">
        <v>32</v>
      </c>
      <c r="C13" s="35">
        <v>36</v>
      </c>
      <c r="D13" s="34">
        <v>0.36</v>
      </c>
      <c r="E13" s="28">
        <f t="shared" ref="E13:E16" si="1">C13*D13</f>
        <v>12.959999999999999</v>
      </c>
    </row>
    <row r="14" spans="1:8" ht="28" x14ac:dyDescent="0.35">
      <c r="A14" s="17">
        <v>60166</v>
      </c>
      <c r="B14" s="40" t="s">
        <v>33</v>
      </c>
      <c r="C14" s="35">
        <v>146931</v>
      </c>
      <c r="D14" s="34">
        <v>0.3</v>
      </c>
      <c r="E14" s="28">
        <f t="shared" si="1"/>
        <v>44079.299999999996</v>
      </c>
    </row>
    <row r="15" spans="1:8" ht="28" x14ac:dyDescent="0.35">
      <c r="A15" s="17">
        <v>60167</v>
      </c>
      <c r="B15" s="40" t="s">
        <v>34</v>
      </c>
      <c r="C15" s="35">
        <v>6734</v>
      </c>
      <c r="D15" s="34">
        <v>0.54</v>
      </c>
      <c r="E15" s="28">
        <f t="shared" si="1"/>
        <v>3636.36</v>
      </c>
    </row>
    <row r="16" spans="1:8" ht="28" x14ac:dyDescent="0.35">
      <c r="A16" s="17">
        <v>60168</v>
      </c>
      <c r="B16" s="40" t="s">
        <v>35</v>
      </c>
      <c r="C16" s="35">
        <v>38157</v>
      </c>
      <c r="D16" s="34">
        <v>0.2</v>
      </c>
      <c r="E16" s="28">
        <f t="shared" si="1"/>
        <v>7631.4000000000005</v>
      </c>
    </row>
    <row r="17" spans="1:5" x14ac:dyDescent="0.35">
      <c r="A17" s="143" t="s">
        <v>36</v>
      </c>
      <c r="B17" s="143"/>
      <c r="C17" s="35"/>
      <c r="D17" s="34"/>
      <c r="E17" s="33">
        <f>SUM(E12:E16)</f>
        <v>55446.720000000001</v>
      </c>
    </row>
    <row r="18" spans="1:5" x14ac:dyDescent="0.35">
      <c r="A18" s="17">
        <v>60160</v>
      </c>
      <c r="B18" s="40" t="s">
        <v>31</v>
      </c>
      <c r="C18" s="35">
        <v>1</v>
      </c>
      <c r="D18" s="34">
        <v>8.67</v>
      </c>
      <c r="E18" s="28">
        <f>C18*D18</f>
        <v>8.67</v>
      </c>
    </row>
    <row r="19" spans="1:5" x14ac:dyDescent="0.35">
      <c r="A19" s="17">
        <v>60169</v>
      </c>
      <c r="B19" s="41" t="s">
        <v>37</v>
      </c>
      <c r="C19" s="35">
        <v>2728</v>
      </c>
      <c r="D19" s="34">
        <v>0.9</v>
      </c>
      <c r="E19" s="28">
        <f>C19*D19</f>
        <v>2455.2000000000003</v>
      </c>
    </row>
    <row r="20" spans="1:5" x14ac:dyDescent="0.35">
      <c r="A20" s="143" t="s">
        <v>38</v>
      </c>
      <c r="B20" s="143"/>
      <c r="C20" s="35"/>
      <c r="D20" s="34"/>
      <c r="E20" s="33">
        <f>SUM(E18:E19)</f>
        <v>2463.8700000000003</v>
      </c>
    </row>
    <row r="21" spans="1:5" x14ac:dyDescent="0.35">
      <c r="A21" s="17" t="s">
        <v>39</v>
      </c>
      <c r="B21" s="60" t="s">
        <v>48</v>
      </c>
      <c r="C21" s="61">
        <v>31171.744608618399</v>
      </c>
      <c r="D21" s="34"/>
      <c r="E21" s="28">
        <v>0</v>
      </c>
    </row>
    <row r="22" spans="1:5" x14ac:dyDescent="0.35">
      <c r="A22" s="17" t="s">
        <v>39</v>
      </c>
      <c r="B22" s="60" t="s">
        <v>49</v>
      </c>
      <c r="C22" s="61">
        <v>2750</v>
      </c>
      <c r="D22" s="34"/>
      <c r="E22" s="28">
        <v>0</v>
      </c>
    </row>
    <row r="23" spans="1:5" x14ac:dyDescent="0.35">
      <c r="A23" s="17" t="s">
        <v>39</v>
      </c>
      <c r="B23" s="60" t="s">
        <v>50</v>
      </c>
      <c r="C23" s="62">
        <v>9111.6576975645712</v>
      </c>
      <c r="D23" s="34"/>
      <c r="E23" s="28">
        <v>0</v>
      </c>
    </row>
    <row r="24" spans="1:5" x14ac:dyDescent="0.35">
      <c r="A24" s="17" t="s">
        <v>39</v>
      </c>
      <c r="B24" s="60" t="s">
        <v>51</v>
      </c>
      <c r="C24" s="61">
        <v>50739.333762329741</v>
      </c>
      <c r="D24" s="34"/>
      <c r="E24" s="28">
        <v>0</v>
      </c>
    </row>
    <row r="25" spans="1:5" x14ac:dyDescent="0.35">
      <c r="A25" s="17" t="s">
        <v>39</v>
      </c>
      <c r="B25" s="60" t="s">
        <v>52</v>
      </c>
      <c r="C25" s="61">
        <v>2718.7334951642674</v>
      </c>
      <c r="D25" s="34"/>
      <c r="E25" s="28">
        <v>0</v>
      </c>
    </row>
    <row r="26" spans="1:5" x14ac:dyDescent="0.35">
      <c r="A26" s="17" t="s">
        <v>39</v>
      </c>
      <c r="B26" s="60" t="s">
        <v>53</v>
      </c>
      <c r="C26" s="61">
        <v>399.68370869565211</v>
      </c>
      <c r="D26" s="34"/>
      <c r="E26" s="28">
        <v>0</v>
      </c>
    </row>
    <row r="27" spans="1:5" x14ac:dyDescent="0.35">
      <c r="A27" s="143" t="s">
        <v>40</v>
      </c>
      <c r="B27" s="143"/>
      <c r="C27" s="35"/>
      <c r="D27" s="34"/>
      <c r="E27" s="33">
        <f>SUM(E21:E26)</f>
        <v>0</v>
      </c>
    </row>
    <row r="28" spans="1:5" ht="28.5" x14ac:dyDescent="0.35">
      <c r="A28" s="17">
        <v>60516</v>
      </c>
      <c r="B28" s="120" t="s">
        <v>44</v>
      </c>
      <c r="C28" s="35">
        <f>1536*9</f>
        <v>13824</v>
      </c>
      <c r="D28" s="34">
        <v>3.54</v>
      </c>
      <c r="E28" s="28">
        <f>C28*D28</f>
        <v>48936.959999999999</v>
      </c>
    </row>
    <row r="29" spans="1:5" ht="28.5" x14ac:dyDescent="0.35">
      <c r="A29" s="17">
        <v>60517</v>
      </c>
      <c r="B29" s="120" t="s">
        <v>45</v>
      </c>
      <c r="C29" s="35">
        <v>156099</v>
      </c>
      <c r="D29" s="34">
        <v>0.91</v>
      </c>
      <c r="E29" s="28">
        <f>C29*D29</f>
        <v>142050.09</v>
      </c>
    </row>
    <row r="30" spans="1:5" x14ac:dyDescent="0.35">
      <c r="A30" s="143" t="s">
        <v>69</v>
      </c>
      <c r="B30" s="143"/>
      <c r="C30" s="35"/>
      <c r="D30" s="34"/>
      <c r="E30" s="28"/>
    </row>
    <row r="31" spans="1:5" x14ac:dyDescent="0.35">
      <c r="A31" s="17" t="s">
        <v>39</v>
      </c>
      <c r="B31" s="120" t="s">
        <v>70</v>
      </c>
      <c r="C31" s="34">
        <v>16888</v>
      </c>
      <c r="D31" s="34"/>
      <c r="E31" s="33">
        <v>16888</v>
      </c>
    </row>
    <row r="32" spans="1:5" x14ac:dyDescent="0.35">
      <c r="A32" s="143" t="s">
        <v>41</v>
      </c>
      <c r="B32" s="143"/>
      <c r="C32" s="35"/>
      <c r="D32" s="34"/>
      <c r="E32" s="33">
        <f>SUM(E28:E29)</f>
        <v>190987.05</v>
      </c>
    </row>
    <row r="33" spans="1:5" x14ac:dyDescent="0.35">
      <c r="A33" s="17" t="s">
        <v>39</v>
      </c>
      <c r="B33" s="40" t="s">
        <v>42</v>
      </c>
      <c r="C33" s="34">
        <v>568524.24999999988</v>
      </c>
      <c r="D33" s="121"/>
      <c r="E33" s="27">
        <v>51995</v>
      </c>
    </row>
    <row r="34" spans="1:5" x14ac:dyDescent="0.35">
      <c r="A34" s="17" t="s">
        <v>39</v>
      </c>
      <c r="B34" s="40" t="s">
        <v>43</v>
      </c>
      <c r="C34" s="34">
        <v>12467</v>
      </c>
      <c r="D34" s="121"/>
      <c r="E34" s="27">
        <v>806</v>
      </c>
    </row>
    <row r="35" spans="1:5" x14ac:dyDescent="0.35">
      <c r="A35" s="24"/>
      <c r="B35" s="42"/>
      <c r="C35" s="36"/>
      <c r="D35" s="36"/>
      <c r="E35" s="29">
        <f>SUM(E33:E34)</f>
        <v>52801</v>
      </c>
    </row>
    <row r="36" spans="1:5" x14ac:dyDescent="0.35">
      <c r="A36" s="143" t="s">
        <v>113</v>
      </c>
      <c r="B36" s="143"/>
      <c r="C36" s="35">
        <f>20000/3</f>
        <v>6666.666666666667</v>
      </c>
      <c r="D36" s="36"/>
      <c r="E36" s="29">
        <f>C36</f>
        <v>6666.666666666667</v>
      </c>
    </row>
    <row r="37" spans="1:5" x14ac:dyDescent="0.35">
      <c r="A37" s="25" t="s">
        <v>25</v>
      </c>
      <c r="B37" s="25"/>
      <c r="C37" s="30"/>
      <c r="D37" s="30"/>
      <c r="E37" s="31">
        <f>ROUNDUP(E10+E17+E20+E27+E32+E35+E31+E36,0)</f>
        <v>339210</v>
      </c>
    </row>
    <row r="38" spans="1:5" x14ac:dyDescent="0.35">
      <c r="A38" s="63"/>
      <c r="B38" s="63"/>
      <c r="C38" s="64"/>
      <c r="D38" s="64"/>
      <c r="E38" s="65"/>
    </row>
    <row r="39" spans="1:5" x14ac:dyDescent="0.35">
      <c r="B39" s="66"/>
    </row>
    <row r="40" spans="1:5" x14ac:dyDescent="0.35">
      <c r="B40" s="66"/>
    </row>
  </sheetData>
  <mergeCells count="9">
    <mergeCell ref="A36:B36"/>
    <mergeCell ref="A1:D1"/>
    <mergeCell ref="A32:B32"/>
    <mergeCell ref="A5:B5"/>
    <mergeCell ref="A11:B11"/>
    <mergeCell ref="A17:B17"/>
    <mergeCell ref="A20:B20"/>
    <mergeCell ref="A27:B27"/>
    <mergeCell ref="A30:B30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Kopā</vt:lpstr>
      <vt:lpstr>1.2. Testēšana</vt:lpstr>
      <vt:lpstr>1.3. Rehabilitācija</vt:lpstr>
      <vt:lpstr>1.4.Dinamiska novērošana</vt:lpstr>
      <vt:lpstr>1.5.Epid.drošība +IAL</vt:lpstr>
      <vt:lpstr>'1.5.Epid.drošība +IAL'!Print_Area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Anete Baškevica</dc:creator>
  <cp:lastModifiedBy>Viktorija Korņenkova</cp:lastModifiedBy>
  <cp:lastPrinted>2022-06-27T12:02:16Z</cp:lastPrinted>
  <dcterms:created xsi:type="dcterms:W3CDTF">2022-04-26T14:16:21Z</dcterms:created>
  <dcterms:modified xsi:type="dcterms:W3CDTF">2022-12-18T11:42:11Z</dcterms:modified>
</cp:coreProperties>
</file>