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vnozare.pri\vm\Redirect_profiles\gjermacane\Desktop\"/>
    </mc:Choice>
  </mc:AlternateContent>
  <xr:revisionPtr revIDLastSave="0" documentId="8_{558B48E0-8E62-436C-9200-552DB84298D6}" xr6:coauthVersionLast="47" xr6:coauthVersionMax="47" xr10:uidLastSave="{00000000-0000-0000-0000-000000000000}"/>
  <bookViews>
    <workbookView xWindow="-110" yWindow="-110" windowWidth="19420" windowHeight="10420" tabRatio="971" firstSheet="1" activeTab="9" xr2:uid="{DE396963-2F59-41D7-84D8-14CFFF9B6A8B}"/>
  </bookViews>
  <sheets>
    <sheet name="Kopsavilkums" sheetId="1" r:id="rId1"/>
    <sheet name="Būvdarbi_mebeles_Jugla" sheetId="2" r:id="rId2"/>
    <sheet name="IKT" sheetId="3" r:id="rId3"/>
    <sheet name="Med_tehn_Jugla" sheetId="6" r:id="rId4"/>
    <sheet name="Med_tehn_9k" sheetId="7" r:id="rId5"/>
    <sheet name="Med_teh_esosh_kap_celsh" sheetId="8" r:id="rId6"/>
    <sheet name="Aptieka_Jugla" sheetId="4" r:id="rId7"/>
    <sheet name="Jelgava" sheetId="10" r:id="rId8"/>
    <sheet name="Ziemelkurzeme" sheetId="11" r:id="rId9"/>
    <sheet name="Rēzekne" sheetId="12" r:id="rId10"/>
    <sheet name="PSKUS" sheetId="13" r:id="rId11"/>
    <sheet name="TOS" sheetId="14" r:id="rId12"/>
    <sheet name="Sheet1" sheetId="9" r:id="rId13"/>
  </sheets>
  <definedNames>
    <definedName name="_xlnm._FilterDatabase" localSheetId="5" hidden="1">Med_teh_esosh_kap_celsh!$A$3:$E$20</definedName>
    <definedName name="_xlnm._FilterDatabase" localSheetId="4" hidden="1">Med_tehn_9k!$A$4:$E$32</definedName>
    <definedName name="_xlnm._FilterDatabase" localSheetId="3" hidden="1">Med_tehn_Jugla!$A$4:$E$32</definedName>
    <definedName name="_xlnm.Print_Area" localSheetId="0">Kopsavilkums!$A$2:$I$8</definedName>
    <definedName name="_xlnm.Print_Titles" localSheetId="5">Med_teh_esosh_kap_celsh!$3:$4</definedName>
    <definedName name="_xlnm.Print_Titles" localSheetId="4">Med_tehn_9k!$2:$3</definedName>
    <definedName name="_xlnm.Print_Titles" localSheetId="3">Med_tehn_Jugla!$4:$5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2" l="1"/>
  <c r="E28" i="14"/>
  <c r="E25" i="14"/>
  <c r="H26" i="14"/>
  <c r="E17" i="14"/>
  <c r="H17" i="14"/>
  <c r="H7" i="14" l="1"/>
  <c r="H8" i="14"/>
  <c r="E9" i="14"/>
  <c r="E10" i="14"/>
  <c r="E11" i="14"/>
  <c r="E12" i="14"/>
  <c r="E13" i="14"/>
  <c r="H14" i="14"/>
  <c r="H15" i="14"/>
  <c r="E16" i="14"/>
  <c r="E19" i="14"/>
  <c r="E20" i="14"/>
  <c r="E21" i="14"/>
  <c r="E22" i="14"/>
  <c r="E23" i="14"/>
  <c r="D40" i="13"/>
  <c r="D38" i="13"/>
  <c r="H35" i="10"/>
  <c r="I35" i="10"/>
  <c r="I31" i="10"/>
  <c r="I32" i="10"/>
  <c r="I33" i="10" s="1"/>
  <c r="I30" i="10"/>
  <c r="I28" i="10"/>
  <c r="H33" i="10"/>
  <c r="H29" i="10"/>
  <c r="H26" i="10"/>
  <c r="I26" i="10"/>
  <c r="I21" i="10"/>
  <c r="I19" i="10"/>
  <c r="I17" i="10"/>
  <c r="I16" i="10"/>
  <c r="I8" i="10"/>
  <c r="I9" i="10"/>
  <c r="I10" i="10"/>
  <c r="I11" i="10"/>
  <c r="I12" i="10"/>
  <c r="I13" i="10"/>
  <c r="I14" i="10"/>
  <c r="I7" i="10"/>
  <c r="H23" i="10"/>
  <c r="H24" i="10"/>
  <c r="H25" i="10"/>
  <c r="H22" i="10"/>
  <c r="H20" i="10"/>
  <c r="H18" i="10"/>
  <c r="H15" i="10"/>
  <c r="H6" i="10"/>
  <c r="H5" i="10"/>
  <c r="I6" i="11"/>
  <c r="G7" i="11"/>
  <c r="G5" i="11"/>
  <c r="I8" i="11"/>
  <c r="B4" i="13"/>
  <c r="D4" i="13" s="1"/>
  <c r="D5" i="13"/>
  <c r="B6" i="13"/>
  <c r="D6" i="13" s="1"/>
  <c r="D7" i="13"/>
  <c r="D8" i="13"/>
  <c r="D9" i="13"/>
  <c r="D10" i="13"/>
  <c r="D11" i="13"/>
  <c r="D12" i="13"/>
  <c r="D17" i="13"/>
  <c r="D18" i="13"/>
  <c r="D19" i="13"/>
  <c r="D20" i="13"/>
  <c r="D22" i="13" s="1"/>
  <c r="D21" i="13"/>
  <c r="B27" i="13"/>
  <c r="D27" i="13"/>
  <c r="D28" i="13" s="1"/>
  <c r="D12" i="12"/>
  <c r="D16" i="12"/>
  <c r="D18" i="12"/>
  <c r="D21" i="12"/>
  <c r="D22" i="12"/>
  <c r="D34" i="12" s="1"/>
  <c r="D23" i="12"/>
  <c r="D24" i="12"/>
  <c r="D25" i="12"/>
  <c r="D26" i="12"/>
  <c r="D27" i="12"/>
  <c r="D28" i="12"/>
  <c r="D29" i="12"/>
  <c r="D30" i="12"/>
  <c r="D31" i="12"/>
  <c r="D32" i="12"/>
  <c r="D33" i="12"/>
  <c r="F5" i="10"/>
  <c r="G5" i="10" s="1"/>
  <c r="G26" i="10" s="1"/>
  <c r="G35" i="10" s="1"/>
  <c r="E6" i="10"/>
  <c r="F6" i="10"/>
  <c r="G6" i="10"/>
  <c r="E7" i="10"/>
  <c r="F7" i="10"/>
  <c r="G7" i="10"/>
  <c r="F8" i="10"/>
  <c r="G8" i="10" s="1"/>
  <c r="F9" i="10"/>
  <c r="G9" i="10"/>
  <c r="E10" i="10"/>
  <c r="F10" i="10" s="1"/>
  <c r="G10" i="10" s="1"/>
  <c r="F11" i="10"/>
  <c r="G11" i="10"/>
  <c r="F12" i="10"/>
  <c r="G12" i="10"/>
  <c r="F13" i="10"/>
  <c r="G13" i="10"/>
  <c r="F15" i="10"/>
  <c r="G15" i="10"/>
  <c r="F16" i="10"/>
  <c r="G16" i="10"/>
  <c r="F17" i="10"/>
  <c r="G17" i="10"/>
  <c r="F18" i="10"/>
  <c r="G18" i="10"/>
  <c r="F19" i="10"/>
  <c r="G19" i="10"/>
  <c r="F20" i="10"/>
  <c r="G20" i="10"/>
  <c r="F21" i="10"/>
  <c r="G21" i="10"/>
  <c r="F22" i="10"/>
  <c r="G22" i="10"/>
  <c r="F23" i="10"/>
  <c r="G23" i="10"/>
  <c r="F24" i="10"/>
  <c r="G24" i="10"/>
  <c r="F25" i="10"/>
  <c r="G25" i="10"/>
  <c r="F28" i="10"/>
  <c r="G28" i="10" s="1"/>
  <c r="G33" i="10" s="1"/>
  <c r="F29" i="10"/>
  <c r="G29" i="10"/>
  <c r="F30" i="10"/>
  <c r="G30" i="10" s="1"/>
  <c r="E31" i="10"/>
  <c r="F31" i="10"/>
  <c r="G31" i="10"/>
  <c r="F32" i="10"/>
  <c r="G32" i="10"/>
  <c r="D4" i="1"/>
  <c r="C7" i="2"/>
  <c r="E4" i="1"/>
  <c r="E31" i="6"/>
  <c r="E30" i="6"/>
  <c r="E29" i="6"/>
  <c r="E28" i="6"/>
  <c r="E27" i="6"/>
  <c r="E26" i="6"/>
  <c r="E25" i="6"/>
  <c r="E24" i="6"/>
  <c r="E23" i="6"/>
  <c r="E22" i="6"/>
  <c r="E21" i="6"/>
  <c r="E20" i="6"/>
  <c r="E19" i="6"/>
  <c r="E18" i="6"/>
  <c r="E17" i="6"/>
  <c r="E16" i="6"/>
  <c r="E15" i="6"/>
  <c r="E14" i="6"/>
  <c r="E13" i="6"/>
  <c r="E12" i="6"/>
  <c r="E11" i="6"/>
  <c r="E10" i="6"/>
  <c r="E9" i="6"/>
  <c r="E8" i="6"/>
  <c r="E7" i="6"/>
  <c r="E6" i="6"/>
  <c r="E31" i="7"/>
  <c r="E30" i="7"/>
  <c r="E29" i="7"/>
  <c r="E28" i="7"/>
  <c r="E27" i="7"/>
  <c r="E26" i="7"/>
  <c r="E25" i="7"/>
  <c r="E24" i="7"/>
  <c r="E23" i="7"/>
  <c r="E22" i="7"/>
  <c r="E21" i="7"/>
  <c r="E20" i="7"/>
  <c r="E19" i="7"/>
  <c r="E18" i="7"/>
  <c r="E17" i="7"/>
  <c r="E16" i="7"/>
  <c r="E15" i="7"/>
  <c r="E14" i="7"/>
  <c r="E13" i="7"/>
  <c r="E12" i="7"/>
  <c r="E11" i="7"/>
  <c r="E10" i="7"/>
  <c r="E9" i="7"/>
  <c r="E8" i="7"/>
  <c r="E7" i="7"/>
  <c r="E6" i="7"/>
  <c r="E20" i="8"/>
  <c r="D20" i="8"/>
  <c r="E19" i="8"/>
  <c r="E18" i="8"/>
  <c r="E17" i="8"/>
  <c r="E16" i="8"/>
  <c r="E15" i="8"/>
  <c r="E14" i="8"/>
  <c r="E13" i="8"/>
  <c r="E12" i="8"/>
  <c r="E11" i="8"/>
  <c r="E10" i="8"/>
  <c r="E9" i="8"/>
  <c r="E8" i="8"/>
  <c r="E7" i="8"/>
  <c r="E6" i="8"/>
  <c r="E5" i="8"/>
  <c r="E24" i="14" l="1"/>
  <c r="G8" i="11"/>
  <c r="D13" i="13"/>
  <c r="E32" i="7"/>
  <c r="E21" i="8"/>
  <c r="E32" i="6"/>
  <c r="D7" i="1"/>
  <c r="E7" i="1"/>
  <c r="C7" i="1"/>
  <c r="F5" i="1"/>
  <c r="F7" i="1" s="1"/>
  <c r="F4" i="1"/>
  <c r="G6" i="1" l="1"/>
  <c r="G5" i="1" l="1"/>
  <c r="E5" i="4"/>
  <c r="E6" i="4"/>
  <c r="E7" i="4"/>
  <c r="C26" i="4" s="1"/>
  <c r="E8" i="4"/>
  <c r="E9" i="4"/>
  <c r="E10" i="4"/>
  <c r="E11" i="4"/>
  <c r="E12" i="4"/>
  <c r="E13" i="4"/>
  <c r="C24" i="4" s="1"/>
  <c r="E14" i="4"/>
  <c r="E15" i="4"/>
  <c r="E16" i="4"/>
  <c r="E17" i="4"/>
  <c r="E18" i="4"/>
  <c r="E19" i="4"/>
  <c r="E20" i="4"/>
  <c r="E21" i="4"/>
  <c r="E6" i="3"/>
  <c r="H6" i="3"/>
  <c r="H5" i="3" s="1"/>
  <c r="E7" i="3"/>
  <c r="E8" i="3"/>
  <c r="E9" i="3"/>
  <c r="E10" i="3"/>
  <c r="E11" i="3"/>
  <c r="E12" i="3"/>
  <c r="H13" i="3"/>
  <c r="E14" i="3"/>
  <c r="E15" i="3"/>
  <c r="E16" i="3"/>
  <c r="H17" i="3"/>
  <c r="E18" i="3"/>
  <c r="E19" i="3"/>
  <c r="E20" i="3"/>
  <c r="E21" i="3"/>
  <c r="F23" i="3"/>
  <c r="H23" i="3"/>
  <c r="H22" i="3" s="1"/>
  <c r="E24" i="3"/>
  <c r="E22" i="3" s="1"/>
  <c r="H26" i="3"/>
  <c r="E27" i="3"/>
  <c r="E26" i="3" s="1"/>
  <c r="H28" i="3"/>
  <c r="E29" i="3"/>
  <c r="E30" i="3"/>
  <c r="E31" i="3"/>
  <c r="E32" i="3"/>
  <c r="E33" i="3"/>
  <c r="H34" i="3"/>
  <c r="E35" i="3"/>
  <c r="E36" i="3"/>
  <c r="E38" i="3"/>
  <c r="E37" i="3" s="1"/>
  <c r="F39" i="3"/>
  <c r="H39" i="3" s="1"/>
  <c r="H37" i="3" s="1"/>
  <c r="G4" i="1"/>
  <c r="C12" i="2"/>
  <c r="E28" i="3" l="1"/>
  <c r="E25" i="3" s="1"/>
  <c r="C23" i="4"/>
  <c r="C27" i="4" s="1"/>
  <c r="G7" i="1"/>
  <c r="E34" i="3"/>
  <c r="E5" i="3"/>
  <c r="H25" i="3"/>
  <c r="E17" i="3"/>
  <c r="E13" i="3"/>
  <c r="H4" i="3"/>
  <c r="E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Iveta Akmentina</author>
  </authors>
  <commentList>
    <comment ref="H4" authorId="0" shapeId="0" xr:uid="{29F1F832-60B7-4362-8A98-ECBDDE1237A8}">
      <text>
        <r>
          <rPr>
            <b/>
            <sz val="9"/>
            <color indexed="81"/>
            <rFont val="Tahoma"/>
            <family val="2"/>
            <charset val="186"/>
          </rPr>
          <t>Iveta Akmentina:</t>
        </r>
        <r>
          <rPr>
            <sz val="9"/>
            <color indexed="81"/>
            <rFont val="Tahoma"/>
            <family val="2"/>
            <charset val="186"/>
          </rPr>
          <t xml:space="preserve">
RAKUS personāla vispār NAV; RAKUS ir gatavs apmācīt</t>
        </r>
      </text>
    </comment>
    <comment ref="I4" authorId="0" shapeId="0" xr:uid="{F84AD01E-4537-4A9D-9382-311F2CFA1F06}">
      <text>
        <r>
          <rPr>
            <b/>
            <sz val="9"/>
            <color indexed="81"/>
            <rFont val="Tahoma"/>
            <family val="2"/>
            <charset val="186"/>
          </rPr>
          <t>Iveta Akmentina:</t>
        </r>
        <r>
          <rPr>
            <sz val="9"/>
            <color indexed="81"/>
            <rFont val="Tahoma"/>
            <family val="2"/>
            <charset val="186"/>
          </rPr>
          <t xml:space="preserve">
esošo RAKUS resursu NAV</t>
        </r>
      </text>
    </comment>
    <comment ref="H5" authorId="0" shapeId="0" xr:uid="{8D120535-D096-4AD4-9728-29021A8C48A6}">
      <text>
        <r>
          <rPr>
            <b/>
            <sz val="9"/>
            <color indexed="81"/>
            <rFont val="Tahoma"/>
            <family val="2"/>
            <charset val="186"/>
          </rPr>
          <t>Iveta Akmentina:</t>
        </r>
        <r>
          <rPr>
            <sz val="9"/>
            <color indexed="81"/>
            <rFont val="Tahoma"/>
            <family val="2"/>
            <charset val="186"/>
          </rPr>
          <t xml:space="preserve">
pilnībā var nodrošināt no RAKUS</t>
        </r>
      </text>
    </comment>
    <comment ref="I5" authorId="0" shapeId="0" xr:uid="{A25FB116-A705-4166-BDE1-4D0CAD9922FF}">
      <text>
        <r>
          <rPr>
            <b/>
            <sz val="9"/>
            <color indexed="81"/>
            <rFont val="Tahoma"/>
            <family val="2"/>
            <charset val="186"/>
          </rPr>
          <t>Iveta Akmentina:</t>
        </r>
        <r>
          <rPr>
            <sz val="9"/>
            <color indexed="81"/>
            <rFont val="Tahoma"/>
            <family val="2"/>
            <charset val="186"/>
          </rPr>
          <t xml:space="preserve">
RAKUS personāla NAV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Autors</author>
  </authors>
  <commentList>
    <comment ref="D23" authorId="0" shapeId="0" xr:uid="{1B886180-0839-4D19-8F9B-69DE2FFB26BC}">
      <text>
        <r>
          <rPr>
            <b/>
            <sz val="9"/>
            <color indexed="81"/>
            <rFont val="Tahoma"/>
            <family val="2"/>
            <charset val="186"/>
          </rPr>
          <t>Autors:</t>
        </r>
        <r>
          <rPr>
            <sz val="9"/>
            <color indexed="81"/>
            <rFont val="Tahoma"/>
            <family val="2"/>
            <charset val="186"/>
          </rPr>
          <t xml:space="preserve">
aprēķins uz 8 slimnīcas liftiem</t>
        </r>
      </text>
    </comment>
  </commentList>
</comments>
</file>

<file path=xl/sharedStrings.xml><?xml version="1.0" encoding="utf-8"?>
<sst xmlns="http://schemas.openxmlformats.org/spreadsheetml/2006/main" count="509" uniqueCount="361">
  <si>
    <t>Nosaukums</t>
  </si>
  <si>
    <t>Medicīniskais aprīkojums, tai skaitā medicīnas mēbeles un aprūpes inventārs</t>
  </si>
  <si>
    <t>Biroja tipa mēbeles un saimnieciskais aprīkojums</t>
  </si>
  <si>
    <t>Informācijas un komunikāciju tehnoloģijas</t>
  </si>
  <si>
    <t>KOPĀ:</t>
  </si>
  <si>
    <t>Video novērošana</t>
  </si>
  <si>
    <t>Aktīvās tīkla iekārtas</t>
  </si>
  <si>
    <t>IT aprīkojums - datori, printeri</t>
  </si>
  <si>
    <t>Segas, spilveni, gultas veļa, cits mīkstais inventārs</t>
  </si>
  <si>
    <t>Saimniecības, biroja mēbeles</t>
  </si>
  <si>
    <t>Gultas, medicīnas iekārtas un mēbeles</t>
  </si>
  <si>
    <t>Skābekļa tvertnes piegāde, uzstādīšana</t>
  </si>
  <si>
    <t>Būvdarbi</t>
  </si>
  <si>
    <t>Summa (iesk.PVN)</t>
  </si>
  <si>
    <t>Izdevumu pozīcija:</t>
  </si>
  <si>
    <t>Nr. p. k.</t>
  </si>
  <si>
    <t>Tālruņi</t>
  </si>
  <si>
    <t>Rāciju komplekts katram māsu postenim</t>
  </si>
  <si>
    <t>Sakaru tehnika</t>
  </si>
  <si>
    <t>Ārstu kabinets</t>
  </si>
  <si>
    <t>Māsu postenis</t>
  </si>
  <si>
    <t>Datortehnika</t>
  </si>
  <si>
    <t>11.stāvs</t>
  </si>
  <si>
    <t>9.stāvs (12 vietas) - jau ierīkots</t>
  </si>
  <si>
    <t>6.stāvs</t>
  </si>
  <si>
    <t>4.stāvs (24 vietas)</t>
  </si>
  <si>
    <t>3.stāvs</t>
  </si>
  <si>
    <t>Video sistēmas nodrošināšana</t>
  </si>
  <si>
    <t>Komutatori</t>
  </si>
  <si>
    <t>Datu pārraides nodrošināšana</t>
  </si>
  <si>
    <t>Gaiļezera 9.kopruss</t>
  </si>
  <si>
    <t>QR skaneris aptiekai</t>
  </si>
  <si>
    <t>Dators aptiekai</t>
  </si>
  <si>
    <t>Korpuss F</t>
  </si>
  <si>
    <t>Korpuss E</t>
  </si>
  <si>
    <t>Korpuss A</t>
  </si>
  <si>
    <t>UPS</t>
  </si>
  <si>
    <t>MS AD Serveris</t>
  </si>
  <si>
    <t>WiFi Access Point</t>
  </si>
  <si>
    <t>Ugunsmūris</t>
  </si>
  <si>
    <t>Centrālais maršrutētājs</t>
  </si>
  <si>
    <t>Dublēts pieslēgums pie RAKUS tīkla (ierīkošana)</t>
  </si>
  <si>
    <t>Jugla</t>
  </si>
  <si>
    <t>Summa EUR ar PVN</t>
  </si>
  <si>
    <t>Mēnešu skaits</t>
  </si>
  <si>
    <t>Mēneša maksa EUR bez PVN</t>
  </si>
  <si>
    <t>Skaits</t>
  </si>
  <si>
    <t>Vienības cena EUR bez PVN</t>
  </si>
  <si>
    <t>Tekošie</t>
  </si>
  <si>
    <t>Iegāde</t>
  </si>
  <si>
    <t>Pozīcija</t>
  </si>
  <si>
    <t>Nr.p.k.</t>
  </si>
  <si>
    <t>Būvniecības darbu izmaksas</t>
  </si>
  <si>
    <t>KOPĀ (ar PVN):</t>
  </si>
  <si>
    <t>200 gultām</t>
  </si>
  <si>
    <t>Daudzums</t>
  </si>
  <si>
    <t>Cena</t>
  </si>
  <si>
    <t>Summa</t>
  </si>
  <si>
    <t>Plaukti un skapji medikamentu un med preču glabāšanai</t>
  </si>
  <si>
    <t>Plastamas kastes medikamentu pārvesanai</t>
  </si>
  <si>
    <t>Dators un programmatūra</t>
  </si>
  <si>
    <t>it daļa</t>
  </si>
  <si>
    <t>qr sekenris? Ja nu preci ved pa tiešo?</t>
  </si>
  <si>
    <t>Printeris</t>
  </si>
  <si>
    <t>Galds</t>
  </si>
  <si>
    <t>Datorskrēsls</t>
  </si>
  <si>
    <t>Mob. Telefons</t>
  </si>
  <si>
    <t>Ledusskapis +2-8 un arī saldētavas nodalījums -20</t>
  </si>
  <si>
    <t>Seifs parastais un arī ledusskapim (diazepeks), vai sledzama atseviska telpa ar signalizāciju un ledusskapi. Narkotikām</t>
  </si>
  <si>
    <t>rohla paletēm / kombinzoniem/halātiem/ vieta kur var glabāt vismaz 20 paletes (cimdi,bahilas,kombinz,halati,Nacl)</t>
  </si>
  <si>
    <t>medikamentu rati ar platformu</t>
  </si>
  <si>
    <t>kondicionieris temp uzturesanai telpā</t>
  </si>
  <si>
    <t>medikamentu pārvadājamie ratiņi ar 2 vai 3 plauktiem</t>
  </si>
  <si>
    <t>Putoplasta kaste vai aukstuma soma termolabilu medik pārvadāšanai. Ietilpība 30litri??</t>
  </si>
  <si>
    <t>leduskapis 15-20</t>
  </si>
  <si>
    <t>Kopā</t>
  </si>
  <si>
    <t>IT (iekļauts IT sadaļā)</t>
  </si>
  <si>
    <t>Mēbeles un saimnieciskais aprīkojums (iekļauts Mēbeļu sadaļā):</t>
  </si>
  <si>
    <t>Medicīniskais aprīkojums (iekļauts med.aprīkojuma sadaļā):</t>
  </si>
  <si>
    <t>Mēbeles un saimnieciskais aprīkojums Aptiekas izveidei (iekļauts Mēbeļu sadaļā):</t>
  </si>
  <si>
    <t>Radioloģijas iekārtu pārvietošana un uzstādīšana (iekļauts sadaļā "Medicīniskais aprīkojums, tai skaitā medicīnas mēbeles un aprūpes inventārs")</t>
  </si>
  <si>
    <t xml:space="preserve">t sk 18 int </t>
  </si>
  <si>
    <t>Grupa</t>
  </si>
  <si>
    <t>Medicīnas ierīce</t>
  </si>
  <si>
    <t>SIA "Rīgas Austrumu klīniskā universitātes slimnīca"</t>
  </si>
  <si>
    <t>skaits</t>
  </si>
  <si>
    <t>cena ar PVN</t>
  </si>
  <si>
    <t>summa</t>
  </si>
  <si>
    <t>Gulta ar madraci</t>
  </si>
  <si>
    <t>Gulta ar madraci int</t>
  </si>
  <si>
    <t>Pacientu skapīši</t>
  </si>
  <si>
    <t>Perfūzijas sūkņi</t>
  </si>
  <si>
    <t>Infūzijas sūkņi</t>
  </si>
  <si>
    <t>Perfūzijas sūkņu stacija</t>
  </si>
  <si>
    <t>Ķirurģiskais atsūcējs (mazais)</t>
  </si>
  <si>
    <t>Fluometrs</t>
  </si>
  <si>
    <t>Fluometrs jaudīgs</t>
  </si>
  <si>
    <t>Ežekcijas sūknis</t>
  </si>
  <si>
    <t xml:space="preserve">Infūzu statīvs </t>
  </si>
  <si>
    <t>Aizslietnis</t>
  </si>
  <si>
    <t>USG</t>
  </si>
  <si>
    <t>Ledusskapis</t>
  </si>
  <si>
    <t>Mazgāšanas dezinfekcijas iekārta</t>
  </si>
  <si>
    <t>Mākslīgās plaušu ventilācijas iekārtas ar mitrinātāju (neinvazīvā)</t>
  </si>
  <si>
    <t xml:space="preserve">Mākslīgās plaušu ventilācijas iekārtas ar mitrinātāju </t>
  </si>
  <si>
    <t>Augstas plūsmas skābekļa terapijas sistēma</t>
  </si>
  <si>
    <t>Gaisa attīrīšanas iekārtas (mazā)</t>
  </si>
  <si>
    <t>Gaisa attīrīšanas iekārtas (lielā)</t>
  </si>
  <si>
    <t>Transporta pacienta novērošanas monitors</t>
  </si>
  <si>
    <t>Pacienta novērošanas monitors (vidēja līmeņa)</t>
  </si>
  <si>
    <t>Novērošanas stacija</t>
  </si>
  <si>
    <t>Transporta guļrati</t>
  </si>
  <si>
    <t>Pacientu aprūpes mazais inventārs</t>
  </si>
  <si>
    <t xml:space="preserve">*Lai steidzami pārprofilētu nodaļas un operatīvi iegādātos medicīnas iekārtas, tiks piemērota iepirkuma metode - sarunu procedūra, atbilstoši Publisko iepirkumu likuma 8. panta septītās daļas 3. punktā noteiktajam, proti, pasūtītājam neparedzamu ārkārtas apstākļu rezultātā objektīvi radusies situācija, kurā steidzamības dēļ nav iespējams piemērot atklātu konkursu, slēgtu konkursu, vai konkursa procedūru ar sarunām. Minētie apstākļi, kas pamato ārkārtas situāciju nav atkarīgi no Slimnīcas darbības, jo valstī ir izsludināta ārkārtas situācija, strauji pieaug  Slimnīcā pacientu skaits  ar COVID – 19 saslimšanu.
Uz sarunām tiks uzaicināti pretendenti, kuri ir iesnieguši piedāvājumus iepriekš veiktajos  identiskos iepirkumos, kā arī pretendenti, kuri atbilstoši  esošajai tirgus situācijai spēj steidzami piegādāt nepieciešamās medicīnas preces. Viens pretendents tiks uzaicināts tikai tādā gadījumā, ja ir nepieciešama tehniskā saderība jau ar Slimnīcā esošajām iekārtām vai  ārkārtas steidzamības apstākļos prasības spēj izpildīt tikai viens piegādātājs .
</t>
  </si>
  <si>
    <t>12.2021.</t>
  </si>
  <si>
    <t>Nepieciešamie papildu personāla resursi</t>
  </si>
  <si>
    <t>200 jaunu gultasvietu (tai skaitā 18 pirmā līmeņa intensīvās terapijas) izveide Juglas ielā 20</t>
  </si>
  <si>
    <t>Asins gāzu analizātora komplekts</t>
  </si>
  <si>
    <t>Mākslīgās plaušu ventilācijas iekārtas ar mitrinātāju , mobilas.</t>
  </si>
  <si>
    <t>9 korpuss</t>
  </si>
  <si>
    <t>Esošās infrastruktūras kapacitātes stiprināšana</t>
  </si>
  <si>
    <t>RTG</t>
  </si>
  <si>
    <t>Stacionārā RTG iekārta LIC</t>
  </si>
  <si>
    <t>Elektrokardiogrāfi</t>
  </si>
  <si>
    <t>Pacientu pozicionēšanas komplekts</t>
  </si>
  <si>
    <t>Gēla pretizgulējuma/pacientu sildīšanas paliktņu komplekts</t>
  </si>
  <si>
    <t>Skābekļaterapija</t>
  </si>
  <si>
    <t>Mitrinātāja komplekts</t>
  </si>
  <si>
    <t>Portatīvā ultrasonogrāfijas ierīce</t>
  </si>
  <si>
    <t>Perfūzijas sūknis</t>
  </si>
  <si>
    <t>Diagnostika</t>
  </si>
  <si>
    <t>Elektriskās impedances tomogrāfs</t>
  </si>
  <si>
    <t>Pacientu centrāle savietojama ar slimnīcā esošiem monitoriem</t>
  </si>
  <si>
    <t>Pacientu centrāle (LIC 6gab. un TPSC 1 gab.)</t>
  </si>
  <si>
    <t>Monitoru statīvi</t>
  </si>
  <si>
    <t>Pacientu ventilators</t>
  </si>
  <si>
    <t>Pacientu ventilators NIV individuālai lietošanai</t>
  </si>
  <si>
    <t>Procedūru ratiņi</t>
  </si>
  <si>
    <t>Pulsa oksimetrru komplekti</t>
  </si>
  <si>
    <t>Laboratorijas aprīkojums</t>
  </si>
  <si>
    <t>Laboratorijas iekārtu komplekts</t>
  </si>
  <si>
    <t>01.2022.</t>
  </si>
  <si>
    <t>Stacionāra “Jugla” telpu pielāgošana  (200 gultas)</t>
  </si>
  <si>
    <t>Plānotie izpildes termiņi</t>
  </si>
  <si>
    <t>Esošās kapacitātes stiprināšana</t>
  </si>
  <si>
    <t>Gāzu apgādes sistēmas rekonstrukcija un pilnveide</t>
  </si>
  <si>
    <t>Provizoriskie piegādes termiņi (izņemot RTG iekārtai 24 nedēļas ) no 8 nedēļām no pasūtījuma brīža.</t>
  </si>
  <si>
    <t>Provizoriskie piegādes termiņi no 8 nedēļām no pasūtījuma brīža.</t>
  </si>
  <si>
    <t>Provizoriskie piegādes termiņi no  8 nedēļām no pasūtījuma brīža.</t>
  </si>
  <si>
    <t>180 gultasvietas</t>
  </si>
  <si>
    <r>
      <rPr>
        <b/>
        <i/>
        <sz val="14"/>
        <rFont val="Times New Roman"/>
        <family val="1"/>
        <charset val="186"/>
      </rPr>
      <t>180 jaunu</t>
    </r>
    <r>
      <rPr>
        <b/>
        <i/>
        <sz val="14"/>
        <color theme="1"/>
        <rFont val="Times New Roman"/>
        <family val="1"/>
        <charset val="186"/>
      </rPr>
      <t xml:space="preserve"> gultasvietu (tai skaitā 18 pirmā līmeņa intensīvās terapijas) izveide stacionāra Gaiļezers 9. korpusā</t>
    </r>
  </si>
  <si>
    <r>
      <t xml:space="preserve">01.2022. (Jugla)
a)	</t>
    </r>
    <r>
      <rPr>
        <sz val="10"/>
        <color theme="4"/>
        <rFont val="Times New Roman"/>
        <family val="1"/>
        <charset val="186"/>
      </rPr>
      <t>A korpuss (70 gultas) – 40 dienas no līguma noslēgšanas – 03.12.2021.
b)	 F korpuss (60 gulta) + radioloģija (ieskaitot iekārtu uzstādīšanu) 54 dienas no līguma noslēgšanas – 17.12.2021.
c)	 E korpuss (70 gultas) – 70 dienas no līguma noslēgšanas 03.01.2022.</t>
    </r>
  </si>
  <si>
    <t xml:space="preserve">Ārsti
</t>
  </si>
  <si>
    <t>Medicīnas māsas, sanitāri, pacientu transportētāji</t>
  </si>
  <si>
    <r>
      <rPr>
        <b/>
        <sz val="11"/>
        <rFont val="Times New Roman"/>
        <family val="1"/>
        <charset val="186"/>
      </rPr>
      <t>Māsas: 113</t>
    </r>
    <r>
      <rPr>
        <sz val="11"/>
        <rFont val="Times New Roman"/>
        <family val="1"/>
        <charset val="186"/>
      </rPr>
      <t xml:space="preserve"> amatu vietas (ja māsai ir 1:8).
</t>
    </r>
    <r>
      <rPr>
        <b/>
        <sz val="11"/>
        <rFont val="Times New Roman"/>
        <family val="1"/>
        <charset val="186"/>
      </rPr>
      <t>Sanitāri:</t>
    </r>
    <r>
      <rPr>
        <sz val="11"/>
        <rFont val="Times New Roman"/>
        <family val="1"/>
        <charset val="186"/>
      </rPr>
      <t xml:space="preserve"> 90 amatu vietas (ja sanitāram ir 1:10) + 12 transpotrētāja slodzes =102
</t>
    </r>
  </si>
  <si>
    <t>Māsu skaits 101,25 amatu vietas (attiecības 1:8) un sanitāri 81 (attiecības 1:10) + 6 transportētāji = 87</t>
  </si>
  <si>
    <r>
      <t xml:space="preserve">12.2021.-01.2022. </t>
    </r>
    <r>
      <rPr>
        <sz val="10"/>
        <color theme="4"/>
        <rFont val="Times New Roman"/>
        <family val="1"/>
        <charset val="186"/>
      </rPr>
      <t>(provizoriskie piegādes termiņi no 8 nedēļām no pasūtījuma brīža pēc līgumu noslēgšanas)</t>
    </r>
  </si>
  <si>
    <t>Stacionāra “Gaiļezers” 9.korpusa telpu pielāgošana (180 gultas)</t>
  </si>
  <si>
    <t>12.2021.(ne vēlāk kā līdz 03.12.2021.)</t>
  </si>
  <si>
    <r>
      <rPr>
        <b/>
        <sz val="11"/>
        <rFont val="Times New Roman"/>
        <family val="1"/>
        <charset val="186"/>
      </rPr>
      <t>Ārsti: I VARIANTS 18-20</t>
    </r>
    <r>
      <rPr>
        <sz val="11"/>
        <rFont val="Times New Roman"/>
        <family val="1"/>
        <charset val="186"/>
      </rPr>
      <t xml:space="preserve"> ārstu amatu vietas, 1/2 no tiem sertificēti (ja sertificētam ārstam ir 1:10; max 1:12); 10-15 rezidenti (bez klīniskās pieredzes); 3 .ārsti vadītāji amata vietas. 7, 5 sertificēti ārsti nakts dežūras.</t>
    </r>
    <r>
      <rPr>
        <b/>
        <sz val="11"/>
        <rFont val="Times New Roman"/>
        <family val="1"/>
        <charset val="186"/>
      </rPr>
      <t xml:space="preserve">
Ārsti : II VARIANTS 20-</t>
    </r>
    <r>
      <rPr>
        <sz val="11"/>
        <rFont val="Times New Roman"/>
        <family val="1"/>
        <charset val="186"/>
      </rPr>
      <t>25 ārstu amatu vietas , vismaz 1/2 no tiem sertificēti (1:8, max 1:10), ja nav rezidentu. 7, 5 amatu vietas sertificēti ārsti nakts dežūras.
Juglas stacionārs paredzēts vidēji smagiem Covid 19 pacientiem,  Covid -19 seku terapijai, tajā skaitā skābekļa terapijai. max, 6. 1. līmeņa IT gultas</t>
    </r>
    <r>
      <rPr>
        <b/>
        <sz val="11"/>
        <rFont val="Times New Roman"/>
        <family val="1"/>
        <charset val="186"/>
      </rPr>
      <t xml:space="preserve">
</t>
    </r>
  </si>
  <si>
    <t>12.2021. / 01.2022. (atkarībā no preču piegādes)</t>
  </si>
  <si>
    <r>
      <rPr>
        <b/>
        <sz val="11"/>
        <rFont val="Times New Roman"/>
        <family val="1"/>
        <charset val="186"/>
      </rPr>
      <t xml:space="preserve">Ārsti: I VARIANTS: </t>
    </r>
    <r>
      <rPr>
        <sz val="11"/>
        <rFont val="Times New Roman"/>
        <family val="1"/>
        <charset val="186"/>
      </rPr>
      <t xml:space="preserve">18 ārstu amatu vietas,  sertificēti (ja sertificētam ārstam ir 1:10); 10-15 rezidenti ; 3. ārstu vadītāju amata vietas. 3, 5 sertificēta ārsta amata vietas naksts dežūras. </t>
    </r>
    <r>
      <rPr>
        <b/>
        <sz val="11"/>
        <rFont val="Times New Roman"/>
        <family val="1"/>
        <charset val="186"/>
      </rPr>
      <t>Ārsti: II VARIANTS</t>
    </r>
    <r>
      <rPr>
        <sz val="11"/>
        <rFont val="Times New Roman"/>
        <family val="1"/>
        <charset val="186"/>
      </rPr>
      <t xml:space="preserve"> 23 amata vietas (1:8), ja nav rezidentu. 3. vadītāji, ārstu amata vietas. 3, 5 sertificēta ārsta amata vietas naksts dežūras. Gultas paredzētas smagu, vidēji smagu, 1.līmeņa IT pacientu terapijai. </t>
    </r>
  </si>
  <si>
    <t>ITN nodaļā ir 3 pretizgulējumu matrači- savu laiku nokalpojuši un aktīvie pretizgulējuma matrači nepiecīešami, lai nodrošinātu mūsdienu prasībā atbilstošu pacientu aprūpi un drošību.</t>
  </si>
  <si>
    <t>2022.gada janvāris</t>
  </si>
  <si>
    <t>Intensīvās terapijas gultu aktīvie pretzigulējumu matrači</t>
  </si>
  <si>
    <t>Slimnīcas ITN nodaļas gultas ir novecojušas. Nepieciešams atjaunot gultu parku, lai nodrošinātu mūsdienu parsībām atbilstošu pacientu aprūpi un drošību</t>
  </si>
  <si>
    <t>Specializētas intensīvās terapijas gultas</t>
  </si>
  <si>
    <t>Pacientu, darbinieku piekļuves sistēma visām slimnīcas ārduvīm un iekšējās plūsmas kontrolei Slimnīcā, epidemioloģiskās drošibas nodrošināšanai</t>
  </si>
  <si>
    <t>Piekļuves kontroles sistēma slimnīcai</t>
  </si>
  <si>
    <t>COVID un Uzņemšanas nodaļas darba nodrošināšanai- āurāki rati, ar kuriem iespējams operēt ierobežotā telpā</t>
  </si>
  <si>
    <t>2021.gada novembris*</t>
  </si>
  <si>
    <t>Guļrati (Uzņemšanas nodala, pacientu transportēšanai)</t>
  </si>
  <si>
    <t>Slimnīca izmanto novecojušu USG iekārtu, kas neatbilst mūsdienu vizālās diagnostikas prasībām COVID pacientu izmeklēšanai</t>
  </si>
  <si>
    <t>2022.gada februāris</t>
  </si>
  <si>
    <t>Stacionārais USG aparāts COVID pacientu izmeklēšanai</t>
  </si>
  <si>
    <t>*- ja tiek piemērota paātrinātā iepirkuma procedūra, pretējā gadījumā, 2022.gads</t>
  </si>
  <si>
    <t>COVID nodaļas darba nodrošināšanai</t>
  </si>
  <si>
    <t>2021.gada novembris</t>
  </si>
  <si>
    <t>Augstas plūsmas skābekļa terapijas iekārta</t>
  </si>
  <si>
    <t>Vakuumsūkņi ar statīvu COVID nodaļai</t>
  </si>
  <si>
    <t>Statīvs kardiogrāfam COVID nodaļai</t>
  </si>
  <si>
    <t>Kardiogrāfs ar statīvu COVID nodaļai</t>
  </si>
  <si>
    <t>Epidemioloģiski drošas vides nodrošināšanai</t>
  </si>
  <si>
    <t>Tvaika tīrīšanas un dezinfekcijas iekārta</t>
  </si>
  <si>
    <t>Uzņemšanas nodaļas darba nodrošināšanai, t.sk COVID pacientu izolatorā</t>
  </si>
  <si>
    <t>Portatīva ultrasonogrāfijas iekārta (Uzņemšanas nodaāli, COVID nodaļai)</t>
  </si>
  <si>
    <t>COVID nodaļas darba nodrošināšanai. Pašreiz COVID nodaļa aprīkota ar koka skapīšiem, kas neatbilst aprūpes prasībām</t>
  </si>
  <si>
    <t>Pacientu skapīši (COVID nodaļa)</t>
  </si>
  <si>
    <t>COVID nodaļas darba nodrošināšanai. Ātrākais vizuālās diagnostikas izmeklēšanas veids nodaļā</t>
  </si>
  <si>
    <t>Digitālā palātas RTG iekārta Covid nodaļai</t>
  </si>
  <si>
    <t>Slimnīca izmanto 2014.gadā iegādātu RTG iekārtu, kas ir novecojusi COVID pacientu izmeklēšanai</t>
  </si>
  <si>
    <t>Stacionārais RTG aparāts Radioloģijas nodaļā COVID pacientu izmeklēšanai</t>
  </si>
  <si>
    <t>Medicīniskie attēlu apskates monitori</t>
  </si>
  <si>
    <t>Defibrilators</t>
  </si>
  <si>
    <t xml:space="preserve">Nepieciešams otrs videolaringoskops, lai nodrošinātu pacientu intubāciju grūtajos gadījumos. Esošajam ir bijis bojājums kā rezultātā to vairāk kā nedēļu nevarēja izmantot. </t>
  </si>
  <si>
    <t>Videolaringoskops (intensīvās terapijas pacientiem)</t>
  </si>
  <si>
    <t xml:space="preserve">Slimnīcā ir insulta vienība, aktīva COVID-19 pacientu aprite, tiek nogādāti pacienti ar politraumām, līdz ar ko ir nepieciešams datortomogrāfs ar vismaz 64 slāņiem.Moderna, atbilstoša slimnīcas pacientu klīniskā stāvoklā diagnosticēšanai datortomogrāfa iegāde  saīsinās izmeklējuma laiku, līdz ar ko palielinās pacientu plūsmu, kas saņem CTI izmeklējumus stacionārajā etapā. </t>
  </si>
  <si>
    <t>Datortomogrāfs (64-slāņu)</t>
  </si>
  <si>
    <t>Šobrīd lietošanā ir 2 iekārtas, no kurām 1 ir ekspluatācijā no 2006. gada. Ņemot vērā pacientu skaitu, kuriem ir nepieciešama nieru aizstājterapija kā arī to, ka iekārtas mēdz iziet ārā no ierindas, ir nepieciešama papildus iekārta, lai nodrošinātu nepārtrauktu darbu un nodrošinātu pacientu drošību</t>
  </si>
  <si>
    <t>Nieru aiztājējterapijas iekārta (intensīvās terapijas pacientiem)</t>
  </si>
  <si>
    <t>Slimnīcas ITN nodaļā esošie monitori ir novecojuši, bieži tiek remontēti. Paredzēts atjaunot intensīvās terapijas pacientu monitorus ar centrālo novērošanas sistēmu, lai atvieglotu, padarītu efektīvāku personāla darbu un uzlabotu pacientu aprūpi un drošību.</t>
  </si>
  <si>
    <t>Astoņu pacientu novērošanas centrālā darba stacija intensīvās terapijas pacientiem un 8 pacientu novērošanas monitori</t>
  </si>
  <si>
    <t>Skābekļa saišķu uzglabāšanas nojumes izbūve</t>
  </si>
  <si>
    <t>2021.gada janvāris</t>
  </si>
  <si>
    <t xml:space="preserve">Skābekļa koncentrators (Skābekļa ražošanas iekārtu piegāde un uzstādīšana)  ar ražību 15 Nm3/h, glabāšanas konteiners </t>
  </si>
  <si>
    <t xml:space="preserve">Dublējošās avārijas apgādes ar medicīnisko skābekli remontdarbi, montāža un izbūve (60 m) </t>
  </si>
  <si>
    <t>COVID-19 pandēmijas laikā skābekļa patēriņš pieauga līdz pat 6 reizēm, sasniedzot 12738 m3/mēnesī. 2021.gada ziemā un pavasarī, skābekļa padeves sistēmā periodiski kritās skābekļa spiediens, kas norāda uz iekšējo un ārējo cauruļvadu sistēmas ierobežotu kapacitāti krīzes situācijāSaskaņā ar Latvijas Valsts Standartu LVS EN ISO 7396-1:2016 drīkst lietot jebkuru divu vai trīs skābekļa avotu kombināciju. Šobrīd slimnīcā skābeklis tiek piegādāts sašķidrinātā un atdzesētā veidā. Tas tiek glabāts vakuumizolētā uzglabāšanas tvertnē, slimnīcas teritorijā. Paredzēts izbūvēt dublējošu sistēmu ar sašķidrināto skābekli vakuumizolētā uzglabāšanas tvertnē, skābekļa balonu saišķi un skābekļa koncentratoru</t>
  </si>
  <si>
    <t>Mediciniskā skābekļa automātiskas pārslēgšanas stacija aprikota ar LCD ekranu, SMS moduli. Darba jauda 50 m3/h</t>
  </si>
  <si>
    <t>Pamatojums</t>
  </si>
  <si>
    <t>Kopā, ar  PVN</t>
  </si>
  <si>
    <t>Cena, ar PVN</t>
  </si>
  <si>
    <t>Cena, bez PVN</t>
  </si>
  <si>
    <t>Mērvienības</t>
  </si>
  <si>
    <t>Prognozētā piegāde</t>
  </si>
  <si>
    <t>Nepieciešamās investīcijas 2021.- 2022.gadā SIA Jelgavas pilsētas slimnīca" Covid-19 ārstniecības kapacitātes nodrošināšanai</t>
  </si>
  <si>
    <t>ITN</t>
  </si>
  <si>
    <t>Sevoflurāna iztvaikotājs anestēzijas iekārtai</t>
  </si>
  <si>
    <t>Terapijas nodaļas ITN</t>
  </si>
  <si>
    <t>Infekciju nodaļa</t>
  </si>
  <si>
    <t>Augstas plūsmas skābekļa terapijas iekārtas</t>
  </si>
  <si>
    <t>Kopā, EUR, t.sk. PVN</t>
  </si>
  <si>
    <t>Cena par 1 vienību, t.sk. PVN</t>
  </si>
  <si>
    <t>Nodaļa</t>
  </si>
  <si>
    <t>Iekārta</t>
  </si>
  <si>
    <t>Nepieciešamās investīcijas 2021.- 2022.gadā SIA "Ziemeļkurzemes slimnīca" Covid-19 ārstniecības kapacitātes nodrošināšanai</t>
  </si>
  <si>
    <t>Investīcijas kopā:</t>
  </si>
  <si>
    <t>kopā:</t>
  </si>
  <si>
    <t>15.01.2022.</t>
  </si>
  <si>
    <t>Portatīvo elektrokardiogrāfs</t>
  </si>
  <si>
    <t>22.</t>
  </si>
  <si>
    <t>28.02.2022.</t>
  </si>
  <si>
    <t>Portatīvā gaisa un telpu attīrīšanas iekārta</t>
  </si>
  <si>
    <t>21.</t>
  </si>
  <si>
    <t>Ūdeņraža peroksīda miglotājs</t>
  </si>
  <si>
    <t>20.</t>
  </si>
  <si>
    <t>31.01.2022.</t>
  </si>
  <si>
    <t>Portatīvās tualetes</t>
  </si>
  <si>
    <t>19.</t>
  </si>
  <si>
    <t>Pacientu transportēšanas guļrati</t>
  </si>
  <si>
    <t>18.</t>
  </si>
  <si>
    <t>Sēžamrati</t>
  </si>
  <si>
    <t>17.</t>
  </si>
  <si>
    <t>Šībermašīna</t>
  </si>
  <si>
    <t>16.</t>
  </si>
  <si>
    <t>Pulsa oksimetri</t>
  </si>
  <si>
    <t>15.</t>
  </si>
  <si>
    <t>14.</t>
  </si>
  <si>
    <t>Mākslīgā plaušu ventilācijas iekārta</t>
  </si>
  <si>
    <t>13.</t>
  </si>
  <si>
    <t>Nieru aizstājējterapijas iekārta</t>
  </si>
  <si>
    <t>12.</t>
  </si>
  <si>
    <t>Pretizgulējumu matracis</t>
  </si>
  <si>
    <t>11.</t>
  </si>
  <si>
    <t>Nepieciešamais aprīkojums 25 gultu izveidei.</t>
  </si>
  <si>
    <t>Funkcionālā pacientu gulta</t>
  </si>
  <si>
    <t>10.</t>
  </si>
  <si>
    <t>Materiāltehniskais aprīkojums jaunu gultu izveidei</t>
  </si>
  <si>
    <t>Medicīnas gāzu apgādes sistēmas kopā:</t>
  </si>
  <si>
    <t>31.12.2021.</t>
  </si>
  <si>
    <t>Risinājums medicīniskā saspiestā gaisa kontūru segmentēšanai (noplūžu fiksēšanai)</t>
  </si>
  <si>
    <t>9.</t>
  </si>
  <si>
    <t>Medicīniskā saspiestā gaisa apgādes sistēmas atjaunošana</t>
  </si>
  <si>
    <t>8.</t>
  </si>
  <si>
    <t>Medicīniskais saspiestais gaiss pamatā tiek pielietots respiratorajā terapijā slimnīcas Anestēzijas un intensīvās terapijas nodaļā, intensīvās terapijas palātās, Neatliekamās medicīniskās palīdzības un pacientu uzņemšanas nodaļā, Dzemdību-ginekoloģijas nodaļā un citās struktūrvienībās jeb struktūrvienībās, kas tieši saistītas ar Covid-19 infekcijas slimības pacientu izvietošanu un ārstēšanu, kā arī tas plaši tiek izmantots operāciju zālēs un sterilizācijas nodaļā. Medicīnas saspiestā gaisa apgādes kontūru nepietiekams šķērsgriezumu laukums, medicīnas saspiestā gaisa rozešu trūkums, ierobežotas iespējas organizēt kontūru segmentēšu, nodrošinot bojājumu/noplūžu izsekojamību un to ātru likvidēšanu ir kritiski riska faktori, kuru novēršana ir vitāli nepieciešama sekmīgai ārstniecības iestādes funkciju un racionāla līdzekļu izlietojuma nodrošināšanai. Raksturotā situāciju būtu risināma papildu finansējuma piešķīruma ietvaros, nodrošinot iekšējās medicīniskā saspiestā gaisa apgādes sistēmas atjaunošanu/pārbūvi. Kopējās izmaksas minēto pasākumu īstenošanai veidotu 138 831,11 EUR, ieskaitot PVN.</t>
  </si>
  <si>
    <t>Medicīniskais saspiestais gaiss</t>
  </si>
  <si>
    <t>Viena punkta rezerves barošana ar platformu</t>
  </si>
  <si>
    <t>7.</t>
  </si>
  <si>
    <t>Risinājums medicīniskā skābekļa kontūru segmentēšanai (noplūžu fiksēšanai)</t>
  </si>
  <si>
    <t>6.</t>
  </si>
  <si>
    <t>Skābekļa padeves sistēmas kapacitātes palielināšana un modernizēšana, t.sk. centrāle ar sms modeli, stabilizācijas bloks, un izejas kolektors</t>
  </si>
  <si>
    <t>5.</t>
  </si>
  <si>
    <t xml:space="preserve">Iekšējās medicīniskā skābekļa apgādes sistēmas atjaunošana </t>
  </si>
  <si>
    <t>4.</t>
  </si>
  <si>
    <t>Plūsmas mērītāju komplekts</t>
  </si>
  <si>
    <t>3.</t>
  </si>
  <si>
    <t>Iztvaicētājs</t>
  </si>
  <si>
    <t>2.</t>
  </si>
  <si>
    <t xml:space="preserve">Sabiedrībā ar ierobežotu atbildību "RĒZEKNES SLIMNĪCA" izbūvētā medicīniskā skābekļa apgādes sistēma Covid-19 infekcijas slimības straujās izplatības apstākļos, kā rezultātā krasi pieaudzis pacientu skaits, kuriem nepieciešama mākslīgā plaušu ventilācija vai augstas plūsmas skābekļa terapija vitālo funkciju normalizēšanai, nespēj nodrošināt atbilstošu skābekļa terapiju Covid-19 pacientiem. Skābekļa apgādes kontūru nepietiekams šķērsgriezumu laukums, medicīnas skābekļa rozešu trūkums, ierobežotas iespējas organizēt kontūru segmentēšu, nodrošinot bojājumu/noplūžu izsekojamību un to ātru likvidēšanu, nepietiekamais sašķidrinātā medicīniskā skābekļa uzglabāšanas tvertnes tilpums ir kritiski riska faktori, kuru novēršana ir vitāli nepieciešama sekmīgai ārstniecības iestādes funkciju un racionāla līdzekļu izlietojuma nodrošināšanai. Raksturotā situāciju būtu risināma papildu finansējuma piešķīruma ietvaros,  nodrošinot lielāka tilpuma (ne mazāk kā 10 tonnas) tvertnes iegādi ar to papildinošajiem un funkcionalitāti nodrošinošajiem elementiem (iztvaicētājs, zemējuma sistēma, kolektors ar pilno automātiku, plūsmas mērītāji, viena punkta rezerves barošana ar platformu); kā arī nodrošinot iekšējās medicīniskā skābekļa apgādes sistēmas atjaunošanu/pārbūvi. Kopējās izmaksas minēto pasākumu īstenošanai veidotu 487 887,92 EUR, ieskaitot PVN. </t>
  </si>
  <si>
    <t>Sašķidrinātā medicīniskā skābekļa uzglabāšanas tvertne</t>
  </si>
  <si>
    <t>1.</t>
  </si>
  <si>
    <t>Medicīniskais skābeklis</t>
  </si>
  <si>
    <t>Īstenošanas termiņš</t>
  </si>
  <si>
    <t>Izmaksu pozīcija</t>
  </si>
  <si>
    <t>Izmaksu pozīcijas Nr.p.k.</t>
  </si>
  <si>
    <t>KOPĀ ar PVN</t>
  </si>
  <si>
    <t>20</t>
  </si>
  <si>
    <t>Guļrati</t>
  </si>
  <si>
    <t>Summa ar PVN, EUR</t>
  </si>
  <si>
    <t>Viena gabala cena ar PVN, EUR</t>
  </si>
  <si>
    <t>Nepieciešamās medicīnas tehnoloģijas nolietoto tehnoloģiju aizstāšanai</t>
  </si>
  <si>
    <t>30</t>
  </si>
  <si>
    <t>Pulsa oksimetrijas monitors</t>
  </si>
  <si>
    <t>Temometrs infrasarkanais</t>
  </si>
  <si>
    <t>1</t>
  </si>
  <si>
    <t>Strūklas mākslīgās plaušu ventilācijas iekārta</t>
  </si>
  <si>
    <t>Plaušu inpedances iekārta</t>
  </si>
  <si>
    <t>Sašķidrinātā medicīniskā skābekļa cisterna ar ietilpību ne mazāk kā 45 tonnas</t>
  </si>
  <si>
    <t>Papildus nepieciešamās medicīnas tehnoloģijas jau plānoto 259 gultu aprīkošanai</t>
  </si>
  <si>
    <t xml:space="preserve">Elektroencefalogrāfs </t>
  </si>
  <si>
    <t>Centrālā novērošanas stacija</t>
  </si>
  <si>
    <t>Pacientu monitori</t>
  </si>
  <si>
    <t>Bronhoskopi</t>
  </si>
  <si>
    <t>Portatīvais rentgens</t>
  </si>
  <si>
    <t>64</t>
  </si>
  <si>
    <t>Asinsgāzu analizatoru kārtridži</t>
  </si>
  <si>
    <t>4</t>
  </si>
  <si>
    <t>Asinsgāzu analizatori</t>
  </si>
  <si>
    <t>Slēgtās baktericīdās lampas</t>
  </si>
  <si>
    <t>5</t>
  </si>
  <si>
    <t>Elektrokardiogrāfi ar DICOM</t>
  </si>
  <si>
    <t>Nepieciešamās medicīnas tehnoloģijas A korpusa aprīkošanai - papildus 50 gultu izveidei ātrijā</t>
  </si>
  <si>
    <t>Norēķini 2021.gadā</t>
  </si>
  <si>
    <t>Norēķini 2022.gadā</t>
  </si>
  <si>
    <t>Norēķini 2021. gadā</t>
  </si>
  <si>
    <t>Norēķini 2022. gadā</t>
  </si>
  <si>
    <t>Nepieciešamās investīcijas 2021.- 2022.gadā SIA "Rēzekne slimnīca" Covid-19 ārstniecības kapacitātes nodrošināšanai</t>
  </si>
  <si>
    <t>Papildus nepieciešamais finansējums norēķinu veikšanai 2022.gadā
EUR ar PVN</t>
  </si>
  <si>
    <t>Pielāgošanas izmaksas: A1 korpusa pielāgošanai pacientu izvietošanai  ārkārtas situācija</t>
  </si>
  <si>
    <t>A korpusa Covid nodaļu slūžas</t>
  </si>
  <si>
    <t>duškabīnes (lai nodrošinātu personāla iznākšanu no Covid zonas)</t>
  </si>
  <si>
    <t>Ātrija starpsienas</t>
  </si>
  <si>
    <t>speciāla auduma aizkari “palātām”</t>
  </si>
  <si>
    <t>Lifta dezinfekcijas iekārta,pastāvīgi uzstādīta, kuru var lietot cilvēkam atrodoties telpā</t>
  </si>
  <si>
    <t>Gaisa dezinfekcijas iekārta, kuru var lietot cilvēkam atrodoties telpā (kā uzņemšanas nodaļā)</t>
  </si>
  <si>
    <t>Dezinfekcijas līdzeklis NOCOLYSE ONE SHOT 5L</t>
  </si>
  <si>
    <t>Dezinfekcijas līdzeklis NOCOLYSE ONE SHOT 1L</t>
  </si>
  <si>
    <t>Automātiskā iekārta NOCOSPRAY 2  - pielietojama telpu un iekārtu dezinfekcijai pēc bīstamām infekcijām</t>
  </si>
  <si>
    <t>ĶON nepieciešamie iepirkumi un preču aprēķini COVID pacientu ārstēšanai</t>
  </si>
  <si>
    <t>Pacientu infuzomati ar turētāju un barošanas kabeli</t>
  </si>
  <si>
    <t>Pacientu perfuzori ar turētāju un barošanas kabeli</t>
  </si>
  <si>
    <t>Asins gāzu analizātors 1.līmeņa ITN vajadzībām</t>
  </si>
  <si>
    <t>Termostats infūziju šķidrumu sildīšanai 1. līmeņa ITN vajadzībām</t>
  </si>
  <si>
    <t xml:space="preserve">Medicīniskie sukņi </t>
  </si>
  <si>
    <t>Videolaringoskops 2. līmeņa ITN vajadzībām</t>
  </si>
  <si>
    <t>Fischer -Paykel mitrinātāji ventilātoriem</t>
  </si>
  <si>
    <t>HFNC iekārta</t>
  </si>
  <si>
    <t>Pacientu ventilācijas iekārtas 1. līmeņa ITN vajadzībām neinvazīvās ventilācijas nodrošināšanai</t>
  </si>
  <si>
    <t>Sanācijas bronhoskops 2. līmeņa ITN vajadzībām</t>
  </si>
  <si>
    <t>Aparatūras iepirkumi COVID TOS RAN</t>
  </si>
  <si>
    <t>Summa bez PVN eiro</t>
  </si>
  <si>
    <t>Cena bez PVN  Eiro</t>
  </si>
  <si>
    <t xml:space="preserve">Nosaukums </t>
  </si>
  <si>
    <t>N</t>
  </si>
  <si>
    <t>VSIA Traumatoloģijas un ortopēdijas slimnīcas nepieciešamais papildus finasējums Covid - 19 pacientu uzņemšanai</t>
  </si>
  <si>
    <t>2022 janv</t>
  </si>
  <si>
    <t>Papildus nepieciešamais finansējums 2021.gadā</t>
  </si>
  <si>
    <t>Papildus nepieciešamais finansējums 2022.gadā</t>
  </si>
  <si>
    <t>Pavisam kopā 2021.gadā</t>
  </si>
  <si>
    <t>Pavisam kopā 2022.gadā</t>
  </si>
  <si>
    <t>2.pielikums. Informatīvajam ziņojumam “Par paveikto veselības aprūpes sistēmas kapacitātes stiprināšanai Covid-19 pacientu ārstēšanas nodrošināšanai un priekšlikumiem neizlietotā finansējuma apguvei”</t>
  </si>
  <si>
    <t>2.1.pielikums. Informatīvajam ziņojumam “Par paveikto veselības aprūpes sistēmas kapacitātes stiprināšanai Covid-19 pacientu ārstēšanas nodrošināšanai un priekšlikumiem neizlietotā finansējuma apguvei”</t>
  </si>
  <si>
    <t>2.2.pielikums. Informatīvajam ziņojumam “Par paveikto veselības aprūpes sistēmas kapacitātes stiprināšanai Covid-19 pacientu ārstēšanas nodrošināšanai un priekšlikumiem neizlietotā finansējuma apguvei”</t>
  </si>
  <si>
    <t>2.3.pielikums. Informatīvajam ziņojumam “Par paveikto veselības aprūpes sistēmas kapacitātes stiprināšanai Covid-19 pacientu ārstēšanas nodrošināšanai un priekšlikumiem neizlietotā finansējuma apguvei”</t>
  </si>
  <si>
    <t>2.4.pielikums. Informatīvajam ziņojumam “Par paveikto veselības aprūpes sistēmas kapacitātes stiprināšanai Covid-19 pacientu ārstēšanas nodrošināšanai un priekšlikumiem neizlietotā finansējuma apguvei”</t>
  </si>
  <si>
    <t>2.5.pielikums. Informatīvajam ziņojumam “Par paveikto veselības aprūpes sistēmas kapacitātes stiprināšanai Covid-19 pacientu ārstēšanas nodrošināšanai un priekšlikumiem neizlietotā finansējuma apguvei”</t>
  </si>
  <si>
    <t>2.6.pielikums. Informatīvajam ziņojumam “Par paveikto veselības aprūpes sistēmas kapacitātes stiprināšanai Covid-19 pacientu ārstēšanas nodrošināšanai un priekšlikumiem neizlietotā finansējuma apguvei”</t>
  </si>
  <si>
    <t>2.7.pielikums. Informatīvajam ziņojumam “Par paveikto veselības aprūpes sistēmas kapacitātes stiprināšanai Covid-19 pacientu ārstēšanas nodrošināšanai un priekšlikumiem neizlietotā finansējuma apguvei”</t>
  </si>
  <si>
    <t>2.8.pielikums. Informatīvajam ziņojumam “Par paveikto veselības aprūpes sistēmas kapacitātes stiprināšanai Covid-19 pacientu ārstēšanas nodrošināšanai un priekšlikumiem neizlietotā finansējuma apguvei"</t>
  </si>
  <si>
    <t>2.9.pielikums. Informatīvajam ziņojumam “Par paveikto veselības aprūpes sistēmas kapacitātes stiprināšanai Covid-19 pacientu ārstēšanas nodrošināšanai un priekšlikumiem neizlietotā finansējuma apguvei"</t>
  </si>
  <si>
    <t>2.10.pielikums. Informatīvajam ziņojumam “Par paveikto veselības aprūpes sistēmas kapacitātes stiprināšanai Covid-19 pacientu ārstēšanas nodrošināšanai un priekšlikumiem neizlietotā finansējuma apguvei"</t>
  </si>
  <si>
    <t>2.11.pielikums. Informatīvajam ziņojumam “Par paveikto veselības aprūpes sistēmas kapacitātes stiprināšanai Covid-19 pacientu ārstēšanas nodrošināšanai un priekšlikumiem neizlietotā finansējuma apguvei"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</si>
</sst>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_-* #,##0.00\ _€_-;\-* #,##0.00\ _€_-;_-* &quot;-&quot;??\ _€_-;_-@_-"/>
    <numFmt numFmtId="166" formatCode="_(&quot;€&quot;* #,##0.00_);_(&quot;€&quot;* \(#,##0.00\);_(&quot;€&quot;* &quot;-&quot;??_);_(@_)"/>
  </numFmts>
  <fonts count="43" x14ac:knownFonts="1">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sz val="11"/>
      <color theme="1"/>
      <name val="Calibri"/>
      <family val="2"/>
      <scheme val="minor"/>
    </font>
    <font>
      <b/>
      <u/>
      <sz val="11"/>
      <color theme="1"/>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b/>
      <i/>
      <sz val="14"/>
      <color theme="1"/>
      <name val="Times New Roman"/>
      <family val="1"/>
      <charset val="186"/>
    </font>
    <font>
      <b/>
      <i/>
      <sz val="12"/>
      <color theme="1"/>
      <name val="Times New Roman"/>
      <family val="1"/>
      <charset val="186"/>
    </font>
    <font>
      <b/>
      <sz val="11"/>
      <color theme="4"/>
      <name val="Times New Roman"/>
      <family val="1"/>
      <charset val="186"/>
    </font>
    <font>
      <sz val="10"/>
      <color theme="4"/>
      <name val="Times New Roman"/>
      <family val="1"/>
      <charset val="186"/>
    </font>
    <font>
      <sz val="11"/>
      <color theme="4"/>
      <name val="Times New Roman"/>
      <family val="1"/>
      <charset val="186"/>
    </font>
    <font>
      <sz val="11"/>
      <color theme="4"/>
      <name val="Calibri"/>
      <family val="2"/>
      <charset val="186"/>
      <scheme val="minor"/>
    </font>
    <font>
      <b/>
      <sz val="11"/>
      <color rgb="FFFF0000"/>
      <name val="Times New Roman"/>
      <family val="1"/>
      <charset val="186"/>
    </font>
    <font>
      <sz val="11"/>
      <color rgb="FFFF0000"/>
      <name val="Times New Roman"/>
      <family val="1"/>
      <charset val="186"/>
    </font>
    <font>
      <b/>
      <i/>
      <sz val="14"/>
      <name val="Times New Roman"/>
      <family val="1"/>
      <charset val="186"/>
    </font>
    <font>
      <b/>
      <sz val="9"/>
      <color indexed="81"/>
      <name val="Tahoma"/>
      <family val="2"/>
      <charset val="186"/>
    </font>
    <font>
      <sz val="9"/>
      <color indexed="81"/>
      <name val="Tahoma"/>
      <family val="2"/>
      <charset val="186"/>
    </font>
    <font>
      <b/>
      <sz val="11"/>
      <name val="Times New Roman"/>
      <family val="1"/>
      <charset val="186"/>
    </font>
    <font>
      <sz val="11"/>
      <name val="Times New Roman"/>
      <family val="1"/>
      <charset val="186"/>
    </font>
    <font>
      <b/>
      <sz val="11"/>
      <name val="Calibri"/>
      <family val="2"/>
      <charset val="186"/>
      <scheme val="minor"/>
    </font>
    <font>
      <sz val="11"/>
      <name val="Calibri"/>
      <family val="2"/>
      <charset val="186"/>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sz val="12"/>
      <name val="Times New Roman"/>
      <family val="1"/>
      <charset val="186"/>
    </font>
    <font>
      <sz val="11"/>
      <color theme="1"/>
      <name val="Times"/>
      <family val="1"/>
    </font>
    <font>
      <sz val="14"/>
      <color theme="1"/>
      <name val="Symbol"/>
      <family val="1"/>
      <charset val="2"/>
    </font>
    <font>
      <b/>
      <sz val="11"/>
      <color theme="1"/>
      <name val="Times"/>
      <family val="1"/>
    </font>
    <font>
      <b/>
      <sz val="12"/>
      <color theme="1"/>
      <name val="Times"/>
      <family val="1"/>
    </font>
    <font>
      <sz val="11"/>
      <name val="Times"/>
      <family val="1"/>
    </font>
    <font>
      <sz val="12"/>
      <name val="Times"/>
      <family val="1"/>
    </font>
    <font>
      <sz val="12"/>
      <color theme="1"/>
      <name val="Times"/>
      <family val="1"/>
    </font>
    <font>
      <b/>
      <sz val="12"/>
      <color theme="1"/>
      <name val="Times New Roman"/>
      <family val="1"/>
      <charset val="204"/>
    </font>
    <font>
      <b/>
      <sz val="11"/>
      <color theme="1"/>
      <name val="Times New Roman"/>
      <family val="1"/>
      <charset val="204"/>
    </font>
    <font>
      <sz val="11"/>
      <color theme="1"/>
      <name val="Times New Roman"/>
      <family val="1"/>
      <charset val="204"/>
    </font>
    <font>
      <sz val="12"/>
      <color rgb="FF000000"/>
      <name val="Calibri"/>
      <family val="2"/>
      <charset val="186"/>
      <scheme val="minor"/>
    </font>
    <font>
      <b/>
      <sz val="12"/>
      <color theme="1"/>
      <name val="Calibri"/>
      <family val="2"/>
      <charset val="186"/>
      <scheme val="minor"/>
    </font>
    <font>
      <b/>
      <sz val="11"/>
      <color theme="1"/>
      <name val="Times"/>
      <charset val="186"/>
    </font>
    <font>
      <sz val="11"/>
      <color rgb="FF201F1E"/>
      <name val="Calibri"/>
      <family val="2"/>
      <charset val="186"/>
      <scheme val="minor"/>
    </font>
  </fonts>
  <fills count="1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theme="4" tint="0.79998168889431442"/>
      </patternFill>
    </fill>
    <fill>
      <patternFill patternType="solid">
        <fgColor theme="8" tint="0.79998168889431442"/>
        <bgColor indexed="64"/>
      </patternFill>
    </fill>
    <fill>
      <patternFill patternType="solid">
        <fgColor theme="0"/>
        <bgColor theme="4" tint="0.79998168889431442"/>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5" fillId="0" borderId="0"/>
    <xf numFmtId="43" fontId="25" fillId="0" borderId="0" applyFont="0" applyFill="0" applyBorder="0" applyAlignment="0" applyProtection="0"/>
    <xf numFmtId="165" fontId="25" fillId="0" borderId="0" applyFont="0" applyFill="0" applyBorder="0" applyAlignment="0" applyProtection="0"/>
    <xf numFmtId="166" fontId="5" fillId="0" borderId="0" applyFont="0" applyFill="0" applyBorder="0" applyAlignment="0" applyProtection="0"/>
  </cellStyleXfs>
  <cellXfs count="256">
    <xf numFmtId="0" fontId="0" fillId="0" borderId="0" xfId="0"/>
    <xf numFmtId="0" fontId="0" fillId="0" borderId="0" xfId="0" applyAlignment="1">
      <alignment wrapText="1"/>
    </xf>
    <xf numFmtId="4" fontId="4" fillId="0" borderId="1" xfId="0" applyNumberFormat="1" applyFont="1" applyBorder="1" applyAlignment="1">
      <alignment horizontal="center" vertical="top" wrapText="1"/>
    </xf>
    <xf numFmtId="4" fontId="0" fillId="0" borderId="0" xfId="0" applyNumberFormat="1" applyAlignment="1">
      <alignment vertical="top" wrapText="1"/>
    </xf>
    <xf numFmtId="4" fontId="2" fillId="0" borderId="0" xfId="0" applyNumberFormat="1" applyFont="1" applyAlignment="1">
      <alignment vertical="top" wrapText="1"/>
    </xf>
    <xf numFmtId="0" fontId="5" fillId="0" borderId="0" xfId="1"/>
    <xf numFmtId="0" fontId="5" fillId="0" borderId="0" xfId="1" applyAlignment="1">
      <alignment wrapText="1"/>
    </xf>
    <xf numFmtId="0" fontId="5" fillId="0" borderId="1" xfId="1" applyFill="1" applyBorder="1" applyAlignment="1">
      <alignment horizontal="left" indent="2"/>
    </xf>
    <xf numFmtId="0" fontId="5" fillId="0" borderId="1" xfId="1" applyFill="1" applyBorder="1" applyAlignment="1">
      <alignment wrapText="1"/>
    </xf>
    <xf numFmtId="0" fontId="5" fillId="3" borderId="1" xfId="1" applyFill="1" applyBorder="1" applyAlignment="1">
      <alignment horizontal="left"/>
    </xf>
    <xf numFmtId="0" fontId="5" fillId="3" borderId="1" xfId="1" applyFill="1" applyBorder="1" applyAlignment="1">
      <alignment wrapText="1"/>
    </xf>
    <xf numFmtId="0" fontId="5" fillId="0" borderId="1" xfId="1" applyBorder="1" applyAlignment="1">
      <alignment wrapText="1"/>
    </xf>
    <xf numFmtId="0" fontId="5" fillId="0" borderId="1" xfId="1" applyBorder="1" applyAlignment="1">
      <alignment horizontal="left" indent="2"/>
    </xf>
    <xf numFmtId="0" fontId="5" fillId="3" borderId="1" xfId="1" applyFill="1" applyBorder="1" applyAlignment="1"/>
    <xf numFmtId="0" fontId="5" fillId="0" borderId="0" xfId="1" applyAlignment="1"/>
    <xf numFmtId="0" fontId="2" fillId="4" borderId="1" xfId="1" applyFont="1" applyFill="1" applyBorder="1" applyAlignment="1"/>
    <xf numFmtId="0" fontId="6" fillId="4" borderId="1" xfId="1" applyFont="1" applyFill="1" applyBorder="1" applyAlignment="1"/>
    <xf numFmtId="0" fontId="5" fillId="4" borderId="1" xfId="1" applyFill="1" applyBorder="1" applyAlignment="1"/>
    <xf numFmtId="4" fontId="4" fillId="6" borderId="1" xfId="0" applyNumberFormat="1" applyFont="1" applyFill="1" applyBorder="1" applyAlignment="1">
      <alignment horizontal="center" vertical="top" wrapText="1"/>
    </xf>
    <xf numFmtId="4" fontId="4" fillId="7" borderId="1" xfId="0" applyNumberFormat="1" applyFont="1" applyFill="1" applyBorder="1" applyAlignment="1">
      <alignment horizontal="center" vertical="top" wrapText="1"/>
    </xf>
    <xf numFmtId="4" fontId="2" fillId="0" borderId="0" xfId="0" applyNumberFormat="1" applyFont="1" applyAlignment="1">
      <alignment horizontal="center" vertical="top" wrapText="1"/>
    </xf>
    <xf numFmtId="4" fontId="2" fillId="5" borderId="1" xfId="1" applyNumberFormat="1" applyFont="1" applyFill="1" applyBorder="1" applyAlignment="1">
      <alignment wrapText="1"/>
    </xf>
    <xf numFmtId="4" fontId="5" fillId="4" borderId="1" xfId="1" applyNumberFormat="1" applyFill="1" applyBorder="1" applyAlignment="1"/>
    <xf numFmtId="4" fontId="5" fillId="3" borderId="1" xfId="1" applyNumberFormat="1" applyFill="1" applyBorder="1" applyAlignment="1"/>
    <xf numFmtId="4" fontId="2" fillId="3" borderId="1" xfId="1" applyNumberFormat="1" applyFont="1" applyFill="1" applyBorder="1" applyAlignment="1"/>
    <xf numFmtId="4" fontId="5" fillId="0" borderId="1" xfId="1" applyNumberFormat="1" applyFill="1" applyBorder="1"/>
    <xf numFmtId="4" fontId="5" fillId="0" borderId="1" xfId="1" applyNumberFormat="1" applyBorder="1"/>
    <xf numFmtId="4" fontId="5" fillId="3" borderId="1" xfId="1" applyNumberFormat="1" applyFill="1" applyBorder="1"/>
    <xf numFmtId="4" fontId="2" fillId="3" borderId="1" xfId="1" applyNumberFormat="1" applyFont="1" applyFill="1" applyBorder="1"/>
    <xf numFmtId="4" fontId="2" fillId="4" borderId="1" xfId="1" applyNumberFormat="1" applyFont="1" applyFill="1" applyBorder="1" applyAlignment="1"/>
    <xf numFmtId="4" fontId="5" fillId="0" borderId="0" xfId="1" applyNumberFormat="1"/>
    <xf numFmtId="3" fontId="3" fillId="0" borderId="1" xfId="0" applyNumberFormat="1" applyFont="1" applyBorder="1" applyAlignment="1">
      <alignment vertical="top" wrapText="1"/>
    </xf>
    <xf numFmtId="3" fontId="4" fillId="6" borderId="1" xfId="0" applyNumberFormat="1" applyFont="1" applyFill="1" applyBorder="1" applyAlignment="1">
      <alignment vertical="top" wrapText="1"/>
    </xf>
    <xf numFmtId="0" fontId="2" fillId="0" borderId="1" xfId="0" applyFont="1" applyBorder="1" applyAlignment="1">
      <alignment vertical="top" wrapText="1"/>
    </xf>
    <xf numFmtId="4" fontId="2" fillId="0" borderId="1" xfId="0" applyNumberFormat="1"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4" fontId="0" fillId="0" borderId="1" xfId="0" applyNumberFormat="1" applyBorder="1" applyAlignment="1">
      <alignment horizontal="center" wrapText="1"/>
    </xf>
    <xf numFmtId="0" fontId="2" fillId="0" borderId="0" xfId="0" applyFont="1" applyBorder="1" applyAlignment="1">
      <alignment horizontal="right" wrapText="1"/>
    </xf>
    <xf numFmtId="4" fontId="0" fillId="0" borderId="0" xfId="0" applyNumberFormat="1" applyAlignment="1">
      <alignment wrapText="1"/>
    </xf>
    <xf numFmtId="0" fontId="7" fillId="0" borderId="0" xfId="0" applyFont="1" applyAlignment="1">
      <alignment wrapText="1"/>
    </xf>
    <xf numFmtId="3" fontId="7" fillId="0" borderId="0" xfId="0" applyNumberFormat="1" applyFont="1" applyAlignment="1">
      <alignment wrapText="1"/>
    </xf>
    <xf numFmtId="0" fontId="7" fillId="9" borderId="10"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1" xfId="0" applyNumberFormat="1" applyFont="1" applyFill="1" applyBorder="1" applyAlignment="1">
      <alignment horizontal="center" vertical="center" wrapText="1"/>
    </xf>
    <xf numFmtId="0" fontId="7" fillId="0" borderId="12" xfId="0" applyFont="1" applyFill="1" applyBorder="1" applyAlignment="1">
      <alignment horizontal="left" vertical="center" wrapText="1"/>
    </xf>
    <xf numFmtId="0" fontId="9" fillId="0" borderId="1" xfId="0"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0" fontId="7" fillId="0" borderId="0" xfId="0" applyFont="1" applyFill="1" applyAlignment="1">
      <alignment wrapText="1"/>
    </xf>
    <xf numFmtId="0" fontId="7" fillId="0" borderId="12" xfId="0" applyFont="1" applyFill="1" applyBorder="1" applyAlignment="1">
      <alignment vertical="center" wrapText="1"/>
    </xf>
    <xf numFmtId="0" fontId="7" fillId="0" borderId="1" xfId="0" applyFont="1" applyFill="1" applyBorder="1" applyAlignment="1">
      <alignment vertical="center" wrapText="1"/>
    </xf>
    <xf numFmtId="0" fontId="7" fillId="10" borderId="13" xfId="0" applyFont="1" applyFill="1" applyBorder="1" applyAlignment="1">
      <alignment horizontal="left" vertical="center" wrapText="1"/>
    </xf>
    <xf numFmtId="0" fontId="8" fillId="10" borderId="14" xfId="0" applyFont="1" applyFill="1" applyBorder="1" applyAlignment="1">
      <alignment vertical="center" wrapText="1"/>
    </xf>
    <xf numFmtId="3" fontId="8" fillId="10" borderId="15" xfId="0" applyNumberFormat="1" applyFont="1" applyFill="1" applyBorder="1" applyAlignment="1">
      <alignment vertical="center" wrapText="1"/>
    </xf>
    <xf numFmtId="4" fontId="8" fillId="10" borderId="16"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vertical="center" wrapText="1"/>
    </xf>
    <xf numFmtId="3" fontId="8" fillId="0" borderId="0" xfId="0" applyNumberFormat="1" applyFont="1" applyFill="1" applyBorder="1" applyAlignment="1">
      <alignment vertical="center" wrapText="1"/>
    </xf>
    <xf numFmtId="4" fontId="8" fillId="0" borderId="0" xfId="0" applyNumberFormat="1" applyFont="1" applyFill="1" applyBorder="1" applyAlignment="1">
      <alignment vertical="center" wrapText="1"/>
    </xf>
    <xf numFmtId="3" fontId="4" fillId="0" borderId="1" xfId="0" applyNumberFormat="1" applyFont="1" applyBorder="1" applyAlignment="1">
      <alignment vertical="top" wrapText="1"/>
    </xf>
    <xf numFmtId="4" fontId="12" fillId="7" borderId="1" xfId="0" applyNumberFormat="1" applyFont="1" applyFill="1" applyBorder="1" applyAlignment="1">
      <alignment horizontal="center" vertical="top" wrapText="1"/>
    </xf>
    <xf numFmtId="4" fontId="14" fillId="0" borderId="1" xfId="0" applyNumberFormat="1" applyFont="1" applyBorder="1" applyAlignment="1">
      <alignment horizontal="center" vertical="top" wrapText="1"/>
    </xf>
    <xf numFmtId="4" fontId="15" fillId="0" borderId="0" xfId="0" applyNumberFormat="1" applyFont="1" applyAlignment="1">
      <alignment horizontal="center" vertical="top" wrapText="1"/>
    </xf>
    <xf numFmtId="4" fontId="17" fillId="11" borderId="1" xfId="0" applyNumberFormat="1" applyFont="1" applyFill="1" applyBorder="1" applyAlignment="1">
      <alignment vertical="top" wrapText="1"/>
    </xf>
    <xf numFmtId="4" fontId="1" fillId="0" borderId="0" xfId="0" applyNumberFormat="1" applyFont="1" applyAlignment="1">
      <alignment vertical="top" wrapText="1"/>
    </xf>
    <xf numFmtId="4" fontId="7" fillId="0" borderId="0" xfId="0" applyNumberFormat="1" applyFont="1" applyAlignment="1">
      <alignment wrapText="1"/>
    </xf>
    <xf numFmtId="4" fontId="21" fillId="11" borderId="1" xfId="0" applyNumberFormat="1" applyFont="1" applyFill="1" applyBorder="1" applyAlignment="1">
      <alignment horizontal="center" vertical="center" wrapText="1"/>
    </xf>
    <xf numFmtId="4" fontId="22" fillId="11" borderId="1" xfId="0" applyNumberFormat="1" applyFont="1" applyFill="1" applyBorder="1" applyAlignment="1">
      <alignment vertical="top" wrapText="1"/>
    </xf>
    <xf numFmtId="4" fontId="22" fillId="11" borderId="0" xfId="0" applyNumberFormat="1" applyFont="1" applyFill="1" applyAlignment="1">
      <alignment vertical="top" wrapText="1"/>
    </xf>
    <xf numFmtId="4" fontId="22" fillId="11" borderId="1" xfId="0" applyNumberFormat="1" applyFont="1" applyFill="1" applyBorder="1" applyAlignment="1">
      <alignment horizontal="left" vertical="top" wrapText="1"/>
    </xf>
    <xf numFmtId="4" fontId="22" fillId="0" borderId="1" xfId="0" applyNumberFormat="1" applyFont="1" applyBorder="1" applyAlignment="1">
      <alignment vertical="top" wrapText="1"/>
    </xf>
    <xf numFmtId="4" fontId="7" fillId="12" borderId="16" xfId="0" applyNumberFormat="1" applyFont="1" applyFill="1" applyBorder="1" applyAlignment="1">
      <alignment vertical="top" wrapText="1"/>
    </xf>
    <xf numFmtId="0" fontId="23" fillId="0" borderId="2" xfId="0" applyFont="1" applyBorder="1"/>
    <xf numFmtId="0" fontId="23" fillId="0" borderId="1" xfId="0" applyFont="1" applyBorder="1" applyAlignment="1">
      <alignment horizontal="center"/>
    </xf>
    <xf numFmtId="0" fontId="24" fillId="0" borderId="0" xfId="0" applyFont="1"/>
    <xf numFmtId="0" fontId="24" fillId="0" borderId="2" xfId="0" applyFont="1" applyBorder="1"/>
    <xf numFmtId="0" fontId="24" fillId="0" borderId="1" xfId="0" applyFont="1" applyBorder="1" applyAlignment="1">
      <alignment horizontal="center"/>
    </xf>
    <xf numFmtId="0" fontId="24" fillId="0" borderId="1" xfId="0" applyFont="1" applyFill="1" applyBorder="1"/>
    <xf numFmtId="0" fontId="23" fillId="0" borderId="1" xfId="0" applyFont="1" applyBorder="1"/>
    <xf numFmtId="0" fontId="24" fillId="0" borderId="0" xfId="0" applyFont="1" applyAlignment="1">
      <alignment horizontal="center"/>
    </xf>
    <xf numFmtId="0" fontId="23" fillId="0" borderId="0" xfId="0" applyFont="1" applyAlignment="1">
      <alignment horizontal="center"/>
    </xf>
    <xf numFmtId="0" fontId="9" fillId="13" borderId="12" xfId="0" applyFont="1" applyFill="1" applyBorder="1" applyAlignment="1">
      <alignment horizontal="left" vertical="center" wrapText="1"/>
    </xf>
    <xf numFmtId="0" fontId="9" fillId="13" borderId="1" xfId="0" applyFont="1" applyFill="1" applyBorder="1" applyAlignment="1">
      <alignment vertical="center" wrapText="1"/>
    </xf>
    <xf numFmtId="3" fontId="9" fillId="13" borderId="1" xfId="0" applyNumberFormat="1" applyFont="1" applyFill="1" applyBorder="1" applyAlignment="1">
      <alignment vertical="center" wrapText="1"/>
    </xf>
    <xf numFmtId="3" fontId="9" fillId="13" borderId="11" xfId="0" applyNumberFormat="1" applyFont="1" applyFill="1" applyBorder="1" applyAlignment="1">
      <alignment vertical="center" wrapText="1"/>
    </xf>
    <xf numFmtId="3" fontId="7" fillId="13" borderId="1" xfId="0" applyNumberFormat="1" applyFont="1" applyFill="1" applyBorder="1" applyAlignment="1">
      <alignment vertical="center" wrapText="1"/>
    </xf>
    <xf numFmtId="0" fontId="26" fillId="0" borderId="0" xfId="0" applyFont="1"/>
    <xf numFmtId="0" fontId="26" fillId="0" borderId="0" xfId="0" applyFont="1" applyAlignment="1">
      <alignment horizontal="center"/>
    </xf>
    <xf numFmtId="164" fontId="27" fillId="0" borderId="0" xfId="0" applyNumberFormat="1" applyFont="1" applyAlignment="1">
      <alignment horizontal="center"/>
    </xf>
    <xf numFmtId="0" fontId="27" fillId="0" borderId="0" xfId="0" applyFont="1"/>
    <xf numFmtId="0" fontId="26" fillId="13" borderId="0" xfId="0" applyFont="1" applyFill="1"/>
    <xf numFmtId="0" fontId="26" fillId="13" borderId="0" xfId="0" applyFont="1" applyFill="1" applyAlignment="1">
      <alignment horizontal="left" wrapText="1"/>
    </xf>
    <xf numFmtId="164" fontId="26" fillId="0" borderId="0" xfId="2" applyNumberFormat="1" applyFont="1" applyFill="1" applyBorder="1" applyAlignment="1">
      <alignment horizontal="center" vertical="center"/>
    </xf>
    <xf numFmtId="164" fontId="26" fillId="0" borderId="14" xfId="2" applyNumberFormat="1" applyFont="1" applyFill="1" applyBorder="1" applyAlignment="1">
      <alignment horizontal="center" vertical="center"/>
    </xf>
    <xf numFmtId="0" fontId="26" fillId="0" borderId="14" xfId="0" applyFont="1" applyBorder="1" applyAlignment="1">
      <alignment horizontal="center" vertical="center"/>
    </xf>
    <xf numFmtId="0" fontId="26" fillId="0" borderId="14" xfId="0" applyFont="1" applyBorder="1" applyAlignment="1">
      <alignment horizontal="left" vertical="center"/>
    </xf>
    <xf numFmtId="0" fontId="26" fillId="0" borderId="13" xfId="0" applyFont="1" applyBorder="1" applyAlignment="1">
      <alignment horizontal="center" vertical="center"/>
    </xf>
    <xf numFmtId="164" fontId="26" fillId="0" borderId="1" xfId="2" applyNumberFormat="1"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6" fillId="0" borderId="12" xfId="0" applyFont="1" applyBorder="1" applyAlignment="1">
      <alignment horizontal="center" vertical="center"/>
    </xf>
    <xf numFmtId="0" fontId="26" fillId="0" borderId="0" xfId="2" applyNumberFormat="1" applyFont="1" applyFill="1" applyBorder="1" applyAlignment="1">
      <alignment horizontal="left" vertical="center" wrapText="1"/>
    </xf>
    <xf numFmtId="0" fontId="26" fillId="0" borderId="0" xfId="2" applyNumberFormat="1" applyFont="1" applyFill="1" applyBorder="1" applyAlignment="1">
      <alignment vertical="center" wrapText="1"/>
    </xf>
    <xf numFmtId="0" fontId="26" fillId="14" borderId="1" xfId="0" applyFont="1" applyFill="1" applyBorder="1" applyAlignment="1">
      <alignment horizontal="center" vertical="center"/>
    </xf>
    <xf numFmtId="0" fontId="26" fillId="13" borderId="0" xfId="0" applyFont="1" applyFill="1" applyAlignment="1">
      <alignment wrapText="1"/>
    </xf>
    <xf numFmtId="164" fontId="26" fillId="0" borderId="17" xfId="2" applyNumberFormat="1" applyFont="1" applyFill="1" applyBorder="1" applyAlignment="1">
      <alignment horizontal="center" vertical="center"/>
    </xf>
    <xf numFmtId="0" fontId="26" fillId="0" borderId="17" xfId="0" applyFont="1" applyBorder="1" applyAlignment="1">
      <alignment horizontal="center" vertical="center"/>
    </xf>
    <xf numFmtId="0" fontId="26" fillId="0" borderId="17" xfId="0" applyFont="1" applyBorder="1" applyAlignment="1">
      <alignment horizontal="left" vertical="center"/>
    </xf>
    <xf numFmtId="0" fontId="26" fillId="0" borderId="18" xfId="0" applyFont="1" applyBorder="1" applyAlignment="1">
      <alignment horizontal="center" vertical="center"/>
    </xf>
    <xf numFmtId="164" fontId="27" fillId="0" borderId="0" xfId="2" applyNumberFormat="1" applyFont="1" applyAlignment="1">
      <alignment horizontal="center"/>
    </xf>
    <xf numFmtId="164" fontId="26" fillId="0" borderId="0" xfId="2" applyNumberFormat="1" applyFont="1" applyAlignment="1">
      <alignment horizontal="center"/>
    </xf>
    <xf numFmtId="0" fontId="27" fillId="0" borderId="0" xfId="0" applyFont="1" applyAlignment="1">
      <alignment horizontal="center"/>
    </xf>
    <xf numFmtId="164" fontId="26" fillId="0" borderId="0" xfId="2" applyNumberFormat="1" applyFont="1" applyFill="1" applyBorder="1" applyAlignment="1">
      <alignment vertical="center" wrapText="1"/>
    </xf>
    <xf numFmtId="0" fontId="26" fillId="14" borderId="14" xfId="0" applyFont="1" applyFill="1" applyBorder="1" applyAlignment="1">
      <alignment horizontal="center" vertical="center"/>
    </xf>
    <xf numFmtId="164" fontId="28" fillId="0" borderId="0" xfId="2" applyNumberFormat="1" applyFont="1" applyFill="1" applyBorder="1" applyAlignment="1">
      <alignment horizontal="center" vertical="center"/>
    </xf>
    <xf numFmtId="164" fontId="28" fillId="0" borderId="1" xfId="2" applyNumberFormat="1" applyFont="1" applyFill="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14" borderId="1"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26" fillId="0" borderId="17" xfId="0" applyFont="1" applyBorder="1" applyAlignment="1">
      <alignment horizontal="left" vertical="center" wrapText="1"/>
    </xf>
    <xf numFmtId="0" fontId="29" fillId="0" borderId="0" xfId="0" applyFont="1"/>
    <xf numFmtId="0" fontId="30" fillId="0" borderId="0" xfId="0" applyFont="1" applyAlignment="1">
      <alignment horizontal="justify" vertical="center"/>
    </xf>
    <xf numFmtId="0" fontId="31" fillId="0" borderId="0" xfId="0" applyFont="1"/>
    <xf numFmtId="43" fontId="32" fillId="0" borderId="1" xfId="0" applyNumberFormat="1" applyFont="1" applyBorder="1"/>
    <xf numFmtId="0" fontId="32" fillId="0" borderId="1" xfId="0" applyFont="1" applyBorder="1"/>
    <xf numFmtId="0" fontId="33" fillId="13" borderId="0" xfId="0" applyFont="1" applyFill="1"/>
    <xf numFmtId="43" fontId="34" fillId="13" borderId="1" xfId="2" applyFont="1" applyFill="1" applyBorder="1" applyAlignment="1">
      <alignment horizontal="left" vertical="center" wrapText="1"/>
    </xf>
    <xf numFmtId="43" fontId="34" fillId="13" borderId="1" xfId="2" applyFont="1" applyFill="1" applyBorder="1" applyAlignment="1">
      <alignment horizontal="left" vertical="center"/>
    </xf>
    <xf numFmtId="0" fontId="34" fillId="13" borderId="1" xfId="0" applyFont="1" applyFill="1" applyBorder="1" applyAlignment="1">
      <alignment horizontal="left" vertical="center"/>
    </xf>
    <xf numFmtId="0" fontId="34" fillId="13" borderId="1" xfId="0" applyFont="1" applyFill="1" applyBorder="1" applyAlignment="1">
      <alignment horizontal="left" vertical="center" wrapText="1"/>
    </xf>
    <xf numFmtId="0" fontId="34" fillId="13" borderId="1" xfId="0" applyFont="1" applyFill="1" applyBorder="1" applyAlignment="1">
      <alignment horizontal="center" vertical="center"/>
    </xf>
    <xf numFmtId="43" fontId="35" fillId="13" borderId="1" xfId="2" applyFont="1" applyFill="1" applyBorder="1" applyAlignment="1">
      <alignment horizontal="left" vertical="center" wrapText="1"/>
    </xf>
    <xf numFmtId="0" fontId="35" fillId="13" borderId="1" xfId="0" applyFont="1" applyFill="1" applyBorder="1" applyAlignment="1">
      <alignment horizontal="left" vertical="center" wrapText="1"/>
    </xf>
    <xf numFmtId="0" fontId="35" fillId="0" borderId="1" xfId="0" applyFont="1" applyBorder="1" applyAlignment="1">
      <alignment horizontal="center" vertical="center"/>
    </xf>
    <xf numFmtId="0" fontId="31" fillId="0" borderId="0" xfId="0" applyFont="1" applyAlignment="1">
      <alignment horizont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0" fillId="0" borderId="0" xfId="0" applyAlignment="1">
      <alignment horizontal="center"/>
    </xf>
    <xf numFmtId="0" fontId="0" fillId="0" borderId="1" xfId="0" applyBorder="1"/>
    <xf numFmtId="165" fontId="36" fillId="15" borderId="1" xfId="0" applyNumberFormat="1" applyFont="1" applyFill="1" applyBorder="1"/>
    <xf numFmtId="0" fontId="0" fillId="0" borderId="1" xfId="0" applyBorder="1" applyAlignment="1">
      <alignment horizontal="center"/>
    </xf>
    <xf numFmtId="165" fontId="37" fillId="0" borderId="1" xfId="3" applyFont="1" applyBorder="1" applyAlignment="1">
      <alignment horizontal="right" vertical="center"/>
    </xf>
    <xf numFmtId="0" fontId="38" fillId="0" borderId="19" xfId="0" applyFont="1" applyBorder="1" applyAlignment="1">
      <alignment horizontal="left" vertical="center" wrapText="1"/>
    </xf>
    <xf numFmtId="165" fontId="38" fillId="0" borderId="1" xfId="3" applyFont="1" applyBorder="1" applyAlignment="1">
      <alignment horizontal="center" vertical="center"/>
    </xf>
    <xf numFmtId="165" fontId="38" fillId="0" borderId="1" xfId="3" applyFont="1" applyBorder="1" applyAlignment="1">
      <alignment vertical="center"/>
    </xf>
    <xf numFmtId="0" fontId="38" fillId="0" borderId="1" xfId="0" applyFont="1" applyBorder="1" applyAlignment="1">
      <alignment horizontal="center" vertical="center"/>
    </xf>
    <xf numFmtId="0" fontId="38" fillId="0" borderId="1" xfId="0" applyFont="1" applyBorder="1" applyAlignment="1">
      <alignment vertical="center" wrapText="1"/>
    </xf>
    <xf numFmtId="0" fontId="36" fillId="15" borderId="0" xfId="0" applyFont="1" applyFill="1" applyAlignment="1">
      <alignment horizontal="center"/>
    </xf>
    <xf numFmtId="0" fontId="38" fillId="0" borderId="21" xfId="0" applyFont="1" applyBorder="1"/>
    <xf numFmtId="165" fontId="37" fillId="0" borderId="21" xfId="3" applyFont="1" applyBorder="1" applyAlignment="1">
      <alignment horizontal="right" vertical="center"/>
    </xf>
    <xf numFmtId="0" fontId="36" fillId="15" borderId="25" xfId="0" applyFont="1" applyFill="1" applyBorder="1" applyAlignment="1">
      <alignment horizontal="center"/>
    </xf>
    <xf numFmtId="0" fontId="38" fillId="0" borderId="1" xfId="0" applyFont="1" applyBorder="1" applyAlignment="1">
      <alignment horizontal="left"/>
    </xf>
    <xf numFmtId="0" fontId="38" fillId="0" borderId="1" xfId="0" applyFont="1" applyBorder="1" applyAlignment="1">
      <alignment vertical="center"/>
    </xf>
    <xf numFmtId="0" fontId="36" fillId="15" borderId="25" xfId="0" applyFont="1" applyFill="1" applyBorder="1" applyAlignment="1">
      <alignment horizontal="center" wrapText="1"/>
    </xf>
    <xf numFmtId="0" fontId="37" fillId="16" borderId="1" xfId="0" applyFont="1" applyFill="1" applyBorder="1" applyAlignment="1">
      <alignment horizontal="center" vertical="center" wrapText="1"/>
    </xf>
    <xf numFmtId="0" fontId="37" fillId="16" borderId="1" xfId="0" applyFont="1" applyFill="1" applyBorder="1" applyAlignment="1">
      <alignment horizontal="center" vertical="center"/>
    </xf>
    <xf numFmtId="166" fontId="2" fillId="0" borderId="1" xfId="1" applyNumberFormat="1" applyFont="1" applyBorder="1" applyAlignment="1">
      <alignment wrapText="1"/>
    </xf>
    <xf numFmtId="49" fontId="2" fillId="0" borderId="1" xfId="4" applyNumberFormat="1" applyFont="1" applyFill="1" applyBorder="1" applyAlignment="1">
      <alignment horizontal="center" vertical="center" wrapText="1"/>
    </xf>
    <xf numFmtId="166" fontId="0" fillId="0" borderId="1" xfId="4" applyFont="1" applyBorder="1" applyAlignment="1">
      <alignment wrapText="1"/>
    </xf>
    <xf numFmtId="49" fontId="0" fillId="0" borderId="1" xfId="4" applyNumberFormat="1" applyFont="1" applyBorder="1" applyAlignment="1">
      <alignment horizontal="center" vertical="center" wrapText="1"/>
    </xf>
    <xf numFmtId="166" fontId="0" fillId="0" borderId="1" xfId="4" applyFont="1" applyFill="1" applyBorder="1" applyAlignment="1">
      <alignment wrapText="1"/>
    </xf>
    <xf numFmtId="0" fontId="39" fillId="0" borderId="1" xfId="1" applyFont="1" applyBorder="1" applyAlignment="1">
      <alignment wrapText="1"/>
    </xf>
    <xf numFmtId="0" fontId="2" fillId="0" borderId="1" xfId="1" applyFont="1" applyBorder="1" applyAlignment="1">
      <alignment wrapText="1"/>
    </xf>
    <xf numFmtId="0" fontId="39" fillId="0" borderId="1" xfId="1" applyFont="1" applyBorder="1" applyAlignment="1">
      <alignment vertical="center" wrapText="1"/>
    </xf>
    <xf numFmtId="166" fontId="2" fillId="0" borderId="19" xfId="1" applyNumberFormat="1" applyFont="1" applyBorder="1"/>
    <xf numFmtId="49" fontId="2" fillId="0" borderId="19" xfId="4" applyNumberFormat="1" applyFont="1" applyFill="1" applyBorder="1" applyAlignment="1">
      <alignment horizontal="center" vertical="center"/>
    </xf>
    <xf numFmtId="166" fontId="0" fillId="0" borderId="1" xfId="4" applyFont="1" applyBorder="1"/>
    <xf numFmtId="0" fontId="5" fillId="0" borderId="1" xfId="1" applyBorder="1" applyAlignment="1">
      <alignment horizontal="center" vertical="center"/>
    </xf>
    <xf numFmtId="49" fontId="0" fillId="0" borderId="1" xfId="4" applyNumberFormat="1" applyFont="1" applyBorder="1" applyAlignment="1">
      <alignment horizontal="center" vertical="center"/>
    </xf>
    <xf numFmtId="49" fontId="0" fillId="0" borderId="1" xfId="4" applyNumberFormat="1" applyFont="1" applyFill="1" applyBorder="1" applyAlignment="1">
      <alignment horizontal="center" vertical="center"/>
    </xf>
    <xf numFmtId="0" fontId="29" fillId="0" borderId="1" xfId="0" applyFont="1" applyBorder="1"/>
    <xf numFmtId="0" fontId="33" fillId="13" borderId="1" xfId="0" applyFont="1" applyFill="1" applyBorder="1"/>
    <xf numFmtId="0" fontId="26" fillId="17" borderId="0" xfId="0" applyFont="1" applyFill="1" applyAlignment="1">
      <alignment horizontal="center"/>
    </xf>
    <xf numFmtId="164" fontId="26" fillId="0" borderId="28" xfId="2" applyNumberFormat="1" applyFont="1" applyFill="1" applyBorder="1" applyAlignment="1">
      <alignment horizontal="center" vertical="center"/>
    </xf>
    <xf numFmtId="164" fontId="26" fillId="0" borderId="2" xfId="2" applyNumberFormat="1" applyFont="1" applyFill="1" applyBorder="1" applyAlignment="1">
      <alignment horizontal="center" vertical="center"/>
    </xf>
    <xf numFmtId="164" fontId="28" fillId="0" borderId="2" xfId="2" applyNumberFormat="1" applyFont="1" applyFill="1" applyBorder="1" applyAlignment="1">
      <alignment horizontal="center" vertical="center"/>
    </xf>
    <xf numFmtId="164" fontId="26" fillId="0" borderId="29" xfId="2" applyNumberFormat="1" applyFont="1" applyFill="1" applyBorder="1" applyAlignment="1">
      <alignment horizontal="center" vertical="center"/>
    </xf>
    <xf numFmtId="49" fontId="2" fillId="0" borderId="19" xfId="4" applyNumberFormat="1" applyFont="1" applyFill="1" applyBorder="1" applyAlignment="1">
      <alignment horizontal="center" vertical="center" wrapText="1"/>
    </xf>
    <xf numFmtId="166" fontId="2" fillId="0" borderId="19" xfId="1" applyNumberFormat="1" applyFont="1" applyBorder="1" applyAlignment="1">
      <alignment wrapText="1"/>
    </xf>
    <xf numFmtId="0" fontId="42" fillId="0" borderId="1" xfId="0" applyFont="1" applyBorder="1"/>
    <xf numFmtId="0" fontId="5" fillId="0" borderId="1" xfId="1" applyBorder="1"/>
    <xf numFmtId="0" fontId="42" fillId="0" borderId="1" xfId="0" applyFont="1" applyBorder="1" applyAlignment="1">
      <alignment horizontal="left" wrapText="1"/>
    </xf>
    <xf numFmtId="44" fontId="2" fillId="17" borderId="0" xfId="1" applyNumberFormat="1" applyFont="1" applyFill="1"/>
    <xf numFmtId="164" fontId="26" fillId="0" borderId="0" xfId="0" applyNumberFormat="1" applyFont="1" applyAlignment="1">
      <alignment horizontal="center"/>
    </xf>
    <xf numFmtId="0" fontId="26" fillId="0" borderId="0" xfId="1" applyFont="1"/>
    <xf numFmtId="0" fontId="26" fillId="0" borderId="25" xfId="1" applyFont="1" applyBorder="1" applyAlignment="1">
      <alignment vertical="center" wrapText="1"/>
    </xf>
    <xf numFmtId="0" fontId="26" fillId="0" borderId="2" xfId="1" applyFont="1" applyBorder="1" applyAlignment="1">
      <alignment vertical="center" wrapText="1"/>
    </xf>
    <xf numFmtId="0" fontId="26" fillId="0" borderId="1" xfId="1" applyFont="1" applyBorder="1" applyAlignment="1">
      <alignment vertical="center" wrapText="1"/>
    </xf>
    <xf numFmtId="0" fontId="26" fillId="0" borderId="1" xfId="1" applyFont="1" applyBorder="1"/>
    <xf numFmtId="0" fontId="28" fillId="0" borderId="1" xfId="1" applyFont="1" applyBorder="1" applyAlignment="1">
      <alignment vertical="center" wrapText="1"/>
    </xf>
    <xf numFmtId="4" fontId="27" fillId="0" borderId="0" xfId="1" applyNumberFormat="1" applyFont="1"/>
    <xf numFmtId="4" fontId="27" fillId="3" borderId="1" xfId="1" applyNumberFormat="1" applyFont="1" applyFill="1" applyBorder="1"/>
    <xf numFmtId="4" fontId="27" fillId="0" borderId="26" xfId="1" applyNumberFormat="1" applyFont="1" applyBorder="1" applyAlignment="1">
      <alignment vertical="center" wrapText="1"/>
    </xf>
    <xf numFmtId="4" fontId="27" fillId="0" borderId="1" xfId="1" applyNumberFormat="1" applyFont="1" applyBorder="1" applyAlignment="1">
      <alignment vertical="center" wrapText="1"/>
    </xf>
    <xf numFmtId="4" fontId="24" fillId="0" borderId="0" xfId="0" applyNumberFormat="1" applyFont="1" applyAlignment="1">
      <alignment vertical="top" wrapText="1"/>
    </xf>
    <xf numFmtId="4" fontId="16" fillId="11" borderId="1" xfId="0" applyNumberFormat="1" applyFont="1" applyFill="1" applyBorder="1" applyAlignment="1">
      <alignment horizontal="center" vertical="center" wrapText="1"/>
    </xf>
    <xf numFmtId="0" fontId="2" fillId="5" borderId="1" xfId="1" applyFont="1" applyFill="1" applyBorder="1" applyAlignment="1">
      <alignment horizontal="center" wrapText="1"/>
    </xf>
    <xf numFmtId="4" fontId="2" fillId="5" borderId="1" xfId="1" applyNumberFormat="1" applyFont="1" applyFill="1" applyBorder="1" applyAlignment="1">
      <alignment horizontal="center"/>
    </xf>
    <xf numFmtId="4" fontId="24" fillId="0" borderId="0" xfId="0" applyNumberFormat="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wrapText="1"/>
    </xf>
    <xf numFmtId="0" fontId="7" fillId="8" borderId="3"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1" fillId="0" borderId="0" xfId="0" applyFont="1" applyFill="1" applyBorder="1" applyAlignment="1">
      <alignment horizontal="left" vertical="center"/>
    </xf>
    <xf numFmtId="4" fontId="24" fillId="0" borderId="0" xfId="0" applyNumberFormat="1" applyFont="1" applyAlignment="1">
      <alignment horizontal="center" vertical="top" wrapText="1"/>
    </xf>
    <xf numFmtId="0" fontId="24" fillId="0" borderId="0" xfId="0" applyFont="1" applyAlignment="1">
      <alignment horizontal="left" wrapText="1"/>
    </xf>
    <xf numFmtId="0" fontId="26" fillId="0" borderId="0" xfId="0" applyFont="1" applyAlignment="1">
      <alignment horizontal="left" wrapText="1"/>
    </xf>
    <xf numFmtId="0" fontId="41" fillId="17" borderId="27" xfId="0" applyFont="1" applyFill="1" applyBorder="1" applyAlignment="1">
      <alignment horizontal="center" wrapText="1"/>
    </xf>
    <xf numFmtId="0" fontId="41" fillId="14" borderId="27" xfId="0" applyFont="1" applyFill="1" applyBorder="1" applyAlignment="1">
      <alignment horizontal="center" wrapText="1"/>
    </xf>
    <xf numFmtId="0" fontId="29" fillId="0" borderId="0" xfId="0" applyFont="1" applyAlignment="1">
      <alignment horizontal="left" wrapText="1"/>
    </xf>
    <xf numFmtId="0" fontId="0" fillId="0" borderId="0" xfId="0" applyAlignment="1">
      <alignment horizontal="center" wrapText="1"/>
    </xf>
    <xf numFmtId="165" fontId="36" fillId="0" borderId="1" xfId="0" applyNumberFormat="1" applyFont="1" applyBorder="1" applyAlignment="1">
      <alignment horizontal="right"/>
    </xf>
    <xf numFmtId="0" fontId="38" fillId="0" borderId="21" xfId="0" applyFont="1" applyBorder="1" applyAlignment="1">
      <alignment horizontal="left" vertical="center" wrapText="1"/>
    </xf>
    <xf numFmtId="0" fontId="38" fillId="0" borderId="20" xfId="0" applyFont="1" applyBorder="1" applyAlignment="1">
      <alignment horizontal="left" vertical="center" wrapText="1"/>
    </xf>
    <xf numFmtId="0" fontId="38" fillId="0" borderId="19" xfId="0" applyFont="1" applyBorder="1" applyAlignment="1">
      <alignment horizontal="left" vertical="center" wrapText="1"/>
    </xf>
    <xf numFmtId="0" fontId="36" fillId="15" borderId="23" xfId="0" applyFont="1" applyFill="1" applyBorder="1" applyAlignment="1">
      <alignment horizontal="center"/>
    </xf>
    <xf numFmtId="0" fontId="36" fillId="15" borderId="22" xfId="0" applyFont="1" applyFill="1" applyBorder="1" applyAlignment="1">
      <alignment horizontal="center"/>
    </xf>
    <xf numFmtId="0" fontId="36" fillId="15" borderId="0" xfId="0" applyFont="1" applyFill="1" applyAlignment="1">
      <alignment horizontal="center"/>
    </xf>
    <xf numFmtId="0" fontId="37" fillId="0" borderId="1" xfId="0" applyFont="1" applyBorder="1" applyAlignment="1">
      <alignment horizontal="right"/>
    </xf>
    <xf numFmtId="0" fontId="37" fillId="0" borderId="23" xfId="0" applyFont="1" applyBorder="1" applyAlignment="1">
      <alignment horizontal="right"/>
    </xf>
    <xf numFmtId="0" fontId="37" fillId="0" borderId="22" xfId="0" applyFont="1" applyBorder="1" applyAlignment="1">
      <alignment horizontal="right"/>
    </xf>
    <xf numFmtId="0" fontId="37" fillId="0" borderId="24" xfId="0" applyFont="1" applyBorder="1" applyAlignment="1">
      <alignment horizontal="right"/>
    </xf>
    <xf numFmtId="0" fontId="36" fillId="15" borderId="2" xfId="0" applyFont="1" applyFill="1" applyBorder="1" applyAlignment="1">
      <alignment horizontal="center" wrapText="1"/>
    </xf>
    <xf numFmtId="0" fontId="36" fillId="15" borderId="25" xfId="0" applyFont="1" applyFill="1" applyBorder="1" applyAlignment="1">
      <alignment horizontal="center" wrapText="1"/>
    </xf>
    <xf numFmtId="0" fontId="36" fillId="15" borderId="2" xfId="0" applyFont="1" applyFill="1" applyBorder="1" applyAlignment="1">
      <alignment horizontal="center"/>
    </xf>
    <xf numFmtId="0" fontId="36" fillId="15" borderId="25" xfId="0" applyFont="1" applyFill="1" applyBorder="1" applyAlignment="1">
      <alignment horizontal="center"/>
    </xf>
    <xf numFmtId="0" fontId="38" fillId="0" borderId="1" xfId="0" applyFont="1" applyBorder="1" applyAlignment="1">
      <alignment horizontal="left" vertical="center" wrapText="1"/>
    </xf>
    <xf numFmtId="0" fontId="37" fillId="0" borderId="2" xfId="0" applyFont="1" applyBorder="1" applyAlignment="1">
      <alignment horizontal="right"/>
    </xf>
    <xf numFmtId="0" fontId="37" fillId="0" borderId="25" xfId="0" applyFont="1" applyBorder="1" applyAlignment="1">
      <alignment horizontal="right"/>
    </xf>
    <xf numFmtId="0" fontId="37" fillId="0" borderId="26" xfId="0" applyFont="1" applyBorder="1" applyAlignment="1">
      <alignment horizontal="right"/>
    </xf>
    <xf numFmtId="0" fontId="40" fillId="7" borderId="27" xfId="1" applyFont="1" applyFill="1" applyBorder="1" applyAlignment="1">
      <alignment horizontal="center" vertical="center" wrapText="1"/>
    </xf>
    <xf numFmtId="0" fontId="5" fillId="0" borderId="0" xfId="1" applyAlignment="1">
      <alignment horizontal="left" wrapText="1"/>
    </xf>
    <xf numFmtId="0" fontId="26" fillId="7" borderId="27" xfId="1" applyFont="1" applyFill="1" applyBorder="1" applyAlignment="1">
      <alignment horizontal="center" wrapText="1"/>
    </xf>
    <xf numFmtId="0" fontId="26" fillId="18" borderId="0" xfId="1" applyFont="1" applyFill="1" applyAlignment="1">
      <alignment horizontal="center" wrapText="1"/>
    </xf>
    <xf numFmtId="0" fontId="27" fillId="3" borderId="2" xfId="1" applyFont="1" applyFill="1" applyBorder="1" applyAlignment="1">
      <alignment horizontal="right" vertical="center" wrapText="1"/>
    </xf>
    <xf numFmtId="0" fontId="27" fillId="3" borderId="25" xfId="1" applyFont="1" applyFill="1" applyBorder="1" applyAlignment="1">
      <alignment horizontal="right" vertical="center" wrapText="1"/>
    </xf>
    <xf numFmtId="0" fontId="26" fillId="3" borderId="25" xfId="1" applyFont="1" applyFill="1" applyBorder="1" applyAlignment="1">
      <alignment horizontal="right" vertical="center" wrapText="1"/>
    </xf>
    <xf numFmtId="0" fontId="26" fillId="3" borderId="26" xfId="1" applyFont="1" applyFill="1" applyBorder="1" applyAlignment="1">
      <alignment horizontal="right" vertical="center" wrapText="1"/>
    </xf>
    <xf numFmtId="0" fontId="26" fillId="0" borderId="0" xfId="1" applyFont="1" applyAlignment="1">
      <alignment horizontal="left" wrapText="1"/>
    </xf>
    <xf numFmtId="0" fontId="27" fillId="0" borderId="25" xfId="1" applyFont="1" applyBorder="1" applyAlignment="1">
      <alignment vertical="center" wrapText="1"/>
    </xf>
    <xf numFmtId="0" fontId="27" fillId="0" borderId="2" xfId="1" applyFont="1" applyBorder="1" applyAlignment="1">
      <alignment horizontal="center" vertical="center" wrapText="1"/>
    </xf>
    <xf numFmtId="0" fontId="27" fillId="0" borderId="25" xfId="1" applyFont="1" applyBorder="1" applyAlignment="1">
      <alignment horizontal="center" vertical="center"/>
    </xf>
    <xf numFmtId="0" fontId="27" fillId="0" borderId="26" xfId="1" applyFont="1" applyBorder="1" applyAlignment="1">
      <alignment horizontal="center" vertical="center"/>
    </xf>
  </cellXfs>
  <cellStyles count="5">
    <cellStyle name="Comma" xfId="2" builtinId="3"/>
    <cellStyle name="Comma 2" xfId="3" xr:uid="{5C5F2BBF-C6A4-4AE2-94EF-A14E30251B9B}"/>
    <cellStyle name="Currency 2" xfId="4" xr:uid="{C8ECB79D-855D-4011-A059-A2C1CAF65B10}"/>
    <cellStyle name="Normal" xfId="0" builtinId="0"/>
    <cellStyle name="Normal 2" xfId="1" xr:uid="{E229435E-18AE-4034-A97C-145F07BF1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EAD6-655D-4263-BAA5-29FBA60363C0}">
  <dimension ref="A1:I7"/>
  <sheetViews>
    <sheetView view="pageBreakPreview" zoomScaleNormal="100" zoomScaleSheetLayoutView="100" workbookViewId="0">
      <pane xSplit="2" ySplit="3" topLeftCell="C4" activePane="bottomRight" state="frozen"/>
      <selection pane="topRight" activeCell="C1" sqref="C1"/>
      <selection pane="bottomLeft" activeCell="A3" sqref="A3"/>
      <selection pane="bottomRight" activeCell="F3" sqref="F3"/>
    </sheetView>
  </sheetViews>
  <sheetFormatPr defaultColWidth="9.1796875" defaultRowHeight="14.5" x14ac:dyDescent="0.35"/>
  <cols>
    <col min="1" max="1" width="10.54296875" style="66" customWidth="1"/>
    <col min="2" max="2" width="18.1796875" style="20" customWidth="1"/>
    <col min="3" max="3" width="35.26953125" style="3" customWidth="1"/>
    <col min="4" max="4" width="16.453125" style="3" customWidth="1"/>
    <col min="5" max="5" width="17.81640625" style="3" customWidth="1"/>
    <col min="6" max="6" width="21.1796875" style="3" customWidth="1"/>
    <col min="7" max="7" width="16.7265625" style="4" customWidth="1"/>
    <col min="8" max="8" width="49.81640625" style="68" customWidth="1"/>
    <col min="9" max="9" width="38.453125" style="68" customWidth="1"/>
    <col min="10" max="16384" width="9.1796875" style="3"/>
  </cols>
  <sheetData>
    <row r="1" spans="1:9" ht="58" x14ac:dyDescent="0.35">
      <c r="H1" s="202" t="s">
        <v>349</v>
      </c>
    </row>
    <row r="2" spans="1:9" ht="106" x14ac:dyDescent="0.35">
      <c r="A2" s="64" t="s">
        <v>143</v>
      </c>
      <c r="B2" s="64"/>
      <c r="C2" s="64" t="s">
        <v>151</v>
      </c>
      <c r="D2" s="64" t="s">
        <v>156</v>
      </c>
      <c r="E2" s="64" t="s">
        <v>158</v>
      </c>
      <c r="F2" s="64" t="s">
        <v>160</v>
      </c>
      <c r="G2" s="19"/>
      <c r="H2" s="203" t="s">
        <v>115</v>
      </c>
      <c r="I2" s="203"/>
    </row>
    <row r="3" spans="1:9" ht="70" x14ac:dyDescent="0.35">
      <c r="A3" s="64"/>
      <c r="B3" s="18" t="s">
        <v>0</v>
      </c>
      <c r="C3" s="18" t="s">
        <v>52</v>
      </c>
      <c r="D3" s="18" t="s">
        <v>1</v>
      </c>
      <c r="E3" s="18" t="s">
        <v>2</v>
      </c>
      <c r="F3" s="18" t="s">
        <v>3</v>
      </c>
      <c r="G3" s="18" t="s">
        <v>53</v>
      </c>
      <c r="H3" s="70" t="s">
        <v>152</v>
      </c>
      <c r="I3" s="70" t="s">
        <v>153</v>
      </c>
    </row>
    <row r="4" spans="1:9" ht="142.15" customHeight="1" x14ac:dyDescent="0.35">
      <c r="A4" s="64" t="s">
        <v>141</v>
      </c>
      <c r="B4" s="18" t="s">
        <v>142</v>
      </c>
      <c r="C4" s="31">
        <v>2446320.5699999998</v>
      </c>
      <c r="D4" s="31">
        <f>35000+1120+1964500</f>
        <v>2000620</v>
      </c>
      <c r="E4" s="31">
        <f>250000+85000+10000+7588</f>
        <v>352588</v>
      </c>
      <c r="F4" s="31">
        <f>228956.2+30021.55</f>
        <v>258977.75</v>
      </c>
      <c r="G4" s="32">
        <f>SUM(C4:F4)</f>
        <v>5058506.32</v>
      </c>
      <c r="H4" s="71" t="s">
        <v>159</v>
      </c>
      <c r="I4" s="71" t="s">
        <v>154</v>
      </c>
    </row>
    <row r="5" spans="1:9" ht="99" customHeight="1" x14ac:dyDescent="0.35">
      <c r="A5" s="64" t="s">
        <v>114</v>
      </c>
      <c r="B5" s="18" t="s">
        <v>157</v>
      </c>
      <c r="C5" s="31">
        <v>0</v>
      </c>
      <c r="D5" s="31">
        <v>1512700</v>
      </c>
      <c r="E5" s="31">
        <v>0</v>
      </c>
      <c r="F5" s="31">
        <f>104241.5+4994.88</f>
        <v>109236.38</v>
      </c>
      <c r="G5" s="32">
        <f>SUM(C5:F5)</f>
        <v>1621936.38</v>
      </c>
      <c r="H5" s="72" t="s">
        <v>161</v>
      </c>
      <c r="I5" s="73" t="s">
        <v>155</v>
      </c>
    </row>
    <row r="6" spans="1:9" ht="59.25" customHeight="1" thickBot="1" x14ac:dyDescent="0.4">
      <c r="A6" s="64" t="s">
        <v>141</v>
      </c>
      <c r="B6" s="18" t="s">
        <v>144</v>
      </c>
      <c r="C6" s="74">
        <v>0</v>
      </c>
      <c r="D6" s="75">
        <v>1858075</v>
      </c>
      <c r="E6" s="74">
        <v>0</v>
      </c>
      <c r="F6" s="74">
        <v>0</v>
      </c>
      <c r="G6" s="32">
        <f>SUM(C6:F6)</f>
        <v>1858075</v>
      </c>
      <c r="H6" s="67"/>
      <c r="I6" s="67"/>
    </row>
    <row r="7" spans="1:9" x14ac:dyDescent="0.35">
      <c r="A7" s="65"/>
      <c r="B7" s="2" t="s">
        <v>4</v>
      </c>
      <c r="C7" s="63">
        <f>SUM(C4:C6)</f>
        <v>2446320.5699999998</v>
      </c>
      <c r="D7" s="63">
        <f t="shared" ref="D7:F7" si="0">SUM(D4:D6)</f>
        <v>5371395</v>
      </c>
      <c r="E7" s="63">
        <f t="shared" si="0"/>
        <v>352588</v>
      </c>
      <c r="F7" s="63">
        <f t="shared" si="0"/>
        <v>368214.13</v>
      </c>
      <c r="G7" s="63">
        <f>SUM(G4:G6)</f>
        <v>8538517.6999999993</v>
      </c>
      <c r="H7" s="67"/>
      <c r="I7" s="67"/>
    </row>
  </sheetData>
  <mergeCells count="1">
    <mergeCell ref="H2:I2"/>
  </mergeCells>
  <pageMargins left="0.7" right="0.7" top="0.75" bottom="0.75" header="0.3" footer="0.3"/>
  <pageSetup paperSize="9" scale="3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CFEF-659F-46CB-9D4B-1B7428CBEE81}">
  <sheetPr>
    <pageSetUpPr fitToPage="1"/>
  </sheetPr>
  <dimension ref="A1:H36"/>
  <sheetViews>
    <sheetView tabSelected="1" zoomScale="90" zoomScaleNormal="90" zoomScaleSheetLayoutView="100" workbookViewId="0">
      <selection activeCell="G1" sqref="G1:H1"/>
    </sheetView>
  </sheetViews>
  <sheetFormatPr defaultRowHeight="14.5" x14ac:dyDescent="0.35"/>
  <cols>
    <col min="1" max="1" width="10.1796875" style="145" bestFit="1" customWidth="1"/>
    <col min="2" max="2" width="30.7265625" customWidth="1"/>
    <col min="3" max="3" width="8.7265625" style="145" customWidth="1"/>
    <col min="4" max="5" width="26.7265625" customWidth="1"/>
    <col min="6" max="6" width="102.26953125" customWidth="1"/>
    <col min="7" max="7" width="17.1796875" customWidth="1"/>
    <col min="8" max="8" width="13.7265625" customWidth="1"/>
  </cols>
  <sheetData>
    <row r="1" spans="1:8" ht="119.25" customHeight="1" x14ac:dyDescent="0.35">
      <c r="A1" s="93" t="s">
        <v>315</v>
      </c>
      <c r="G1" s="223" t="s">
        <v>358</v>
      </c>
      <c r="H1" s="223"/>
    </row>
    <row r="3" spans="1:8" ht="56" x14ac:dyDescent="0.35">
      <c r="A3" s="162" t="s">
        <v>283</v>
      </c>
      <c r="B3" s="163" t="s">
        <v>282</v>
      </c>
      <c r="C3" s="163" t="s">
        <v>46</v>
      </c>
      <c r="D3" s="162" t="s">
        <v>316</v>
      </c>
      <c r="E3" s="162" t="s">
        <v>281</v>
      </c>
      <c r="F3" s="162" t="s">
        <v>208</v>
      </c>
    </row>
    <row r="4" spans="1:8" ht="25" customHeight="1" x14ac:dyDescent="0.35">
      <c r="A4" s="235" t="s">
        <v>280</v>
      </c>
      <c r="B4" s="236"/>
      <c r="C4" s="236"/>
      <c r="D4" s="236"/>
      <c r="E4" s="161"/>
      <c r="F4" s="154"/>
    </row>
    <row r="5" spans="1:8" ht="28" x14ac:dyDescent="0.35">
      <c r="A5" s="153" t="s">
        <v>279</v>
      </c>
      <c r="B5" s="154" t="s">
        <v>278</v>
      </c>
      <c r="C5" s="153">
        <v>1</v>
      </c>
      <c r="D5" s="152">
        <v>127413</v>
      </c>
      <c r="E5" s="151" t="s">
        <v>230</v>
      </c>
      <c r="F5" s="239" t="s">
        <v>277</v>
      </c>
    </row>
    <row r="6" spans="1:8" x14ac:dyDescent="0.35">
      <c r="A6" s="153" t="s">
        <v>276</v>
      </c>
      <c r="B6" s="160" t="s">
        <v>275</v>
      </c>
      <c r="C6" s="153">
        <v>1</v>
      </c>
      <c r="D6" s="152">
        <v>5348</v>
      </c>
      <c r="E6" s="151" t="s">
        <v>258</v>
      </c>
      <c r="F6" s="239"/>
    </row>
    <row r="7" spans="1:8" x14ac:dyDescent="0.35">
      <c r="A7" s="153" t="s">
        <v>274</v>
      </c>
      <c r="B7" s="154" t="s">
        <v>273</v>
      </c>
      <c r="C7" s="153">
        <v>1</v>
      </c>
      <c r="D7" s="152">
        <v>18876</v>
      </c>
      <c r="E7" s="151" t="s">
        <v>258</v>
      </c>
      <c r="F7" s="239"/>
    </row>
    <row r="8" spans="1:8" ht="28" x14ac:dyDescent="0.35">
      <c r="A8" s="153" t="s">
        <v>272</v>
      </c>
      <c r="B8" s="154" t="s">
        <v>271</v>
      </c>
      <c r="C8" s="153">
        <v>1</v>
      </c>
      <c r="D8" s="152">
        <v>241143</v>
      </c>
      <c r="E8" s="151" t="s">
        <v>258</v>
      </c>
      <c r="F8" s="239"/>
    </row>
    <row r="9" spans="1:8" ht="70" x14ac:dyDescent="0.35">
      <c r="A9" s="153" t="s">
        <v>270</v>
      </c>
      <c r="B9" s="154" t="s">
        <v>269</v>
      </c>
      <c r="C9" s="153">
        <v>1</v>
      </c>
      <c r="D9" s="152">
        <v>39325</v>
      </c>
      <c r="E9" s="151" t="s">
        <v>258</v>
      </c>
      <c r="F9" s="239"/>
    </row>
    <row r="10" spans="1:8" ht="42" x14ac:dyDescent="0.35">
      <c r="A10" s="153" t="s">
        <v>268</v>
      </c>
      <c r="B10" s="154" t="s">
        <v>267</v>
      </c>
      <c r="C10" s="153">
        <v>1</v>
      </c>
      <c r="D10" s="152">
        <v>30615</v>
      </c>
      <c r="E10" s="151" t="s">
        <v>258</v>
      </c>
      <c r="F10" s="239"/>
    </row>
    <row r="11" spans="1:8" ht="28" x14ac:dyDescent="0.35">
      <c r="A11" s="153" t="s">
        <v>266</v>
      </c>
      <c r="B11" s="154" t="s">
        <v>265</v>
      </c>
      <c r="C11" s="153">
        <v>2</v>
      </c>
      <c r="D11" s="152">
        <v>25168</v>
      </c>
      <c r="E11" s="151" t="s">
        <v>258</v>
      </c>
      <c r="F11" s="239"/>
    </row>
    <row r="12" spans="1:8" x14ac:dyDescent="0.35">
      <c r="A12" s="240" t="s">
        <v>226</v>
      </c>
      <c r="B12" s="241"/>
      <c r="C12" s="242"/>
      <c r="D12" s="149">
        <f>SUM(D5:D11)</f>
        <v>487888</v>
      </c>
      <c r="E12" s="149"/>
      <c r="F12" s="159"/>
    </row>
    <row r="13" spans="1:8" ht="25" customHeight="1" x14ac:dyDescent="0.35">
      <c r="A13" s="237" t="s">
        <v>264</v>
      </c>
      <c r="B13" s="238"/>
      <c r="C13" s="238"/>
      <c r="D13" s="238"/>
      <c r="E13" s="158"/>
      <c r="F13" s="239" t="s">
        <v>263</v>
      </c>
    </row>
    <row r="14" spans="1:8" ht="70" customHeight="1" x14ac:dyDescent="0.35">
      <c r="A14" s="153" t="s">
        <v>262</v>
      </c>
      <c r="B14" s="154" t="s">
        <v>261</v>
      </c>
      <c r="C14" s="153">
        <v>1</v>
      </c>
      <c r="D14" s="152">
        <v>108216</v>
      </c>
      <c r="E14" s="151" t="s">
        <v>258</v>
      </c>
      <c r="F14" s="239"/>
    </row>
    <row r="15" spans="1:8" ht="70" customHeight="1" x14ac:dyDescent="0.35">
      <c r="A15" s="153" t="s">
        <v>260</v>
      </c>
      <c r="B15" s="154" t="s">
        <v>259</v>
      </c>
      <c r="C15" s="153">
        <v>1</v>
      </c>
      <c r="D15" s="152">
        <v>30615</v>
      </c>
      <c r="E15" s="151" t="s">
        <v>258</v>
      </c>
      <c r="F15" s="239"/>
    </row>
    <row r="16" spans="1:8" x14ac:dyDescent="0.35">
      <c r="A16" s="232" t="s">
        <v>226</v>
      </c>
      <c r="B16" s="233"/>
      <c r="C16" s="234"/>
      <c r="D16" s="157">
        <f>SUM(D14:D15)</f>
        <v>138831</v>
      </c>
      <c r="E16" s="157"/>
      <c r="F16" s="156"/>
    </row>
    <row r="17" spans="1:6" x14ac:dyDescent="0.35">
      <c r="A17" s="148"/>
      <c r="B17" s="146"/>
      <c r="C17" s="148"/>
      <c r="D17" s="146"/>
      <c r="E17" s="146"/>
      <c r="F17" s="146"/>
    </row>
    <row r="18" spans="1:6" ht="15.5" x14ac:dyDescent="0.35">
      <c r="A18" s="224" t="s">
        <v>257</v>
      </c>
      <c r="B18" s="224"/>
      <c r="C18" s="224"/>
      <c r="D18" s="147">
        <f>D12+D16</f>
        <v>626719</v>
      </c>
      <c r="E18" s="147"/>
      <c r="F18" s="146"/>
    </row>
    <row r="19" spans="1:6" x14ac:dyDescent="0.35">
      <c r="A19" s="148"/>
      <c r="B19" s="146"/>
      <c r="C19" s="148"/>
      <c r="D19" s="146"/>
      <c r="E19" s="146"/>
      <c r="F19" s="146"/>
    </row>
    <row r="20" spans="1:6" ht="15.5" x14ac:dyDescent="0.35">
      <c r="A20" s="228" t="s">
        <v>256</v>
      </c>
      <c r="B20" s="229"/>
      <c r="C20" s="229"/>
      <c r="D20" s="230"/>
      <c r="E20" s="155"/>
      <c r="F20" s="146"/>
    </row>
    <row r="21" spans="1:6" x14ac:dyDescent="0.35">
      <c r="A21" s="153" t="s">
        <v>255</v>
      </c>
      <c r="B21" s="154" t="s">
        <v>254</v>
      </c>
      <c r="C21" s="153">
        <v>25</v>
      </c>
      <c r="D21" s="152">
        <f>ROUND((25*6875.22)*1.1,0)</f>
        <v>189069</v>
      </c>
      <c r="E21" s="151" t="s">
        <v>230</v>
      </c>
      <c r="F21" s="225" t="s">
        <v>253</v>
      </c>
    </row>
    <row r="22" spans="1:6" x14ac:dyDescent="0.35">
      <c r="A22" s="153" t="s">
        <v>252</v>
      </c>
      <c r="B22" s="154" t="s">
        <v>251</v>
      </c>
      <c r="C22" s="153">
        <v>25</v>
      </c>
      <c r="D22" s="152">
        <f>ROUND((1892.44*25)*1.1,0)</f>
        <v>52042</v>
      </c>
      <c r="E22" s="151" t="s">
        <v>230</v>
      </c>
      <c r="F22" s="226"/>
    </row>
    <row r="23" spans="1:6" x14ac:dyDescent="0.35">
      <c r="A23" s="153" t="s">
        <v>250</v>
      </c>
      <c r="B23" s="154" t="s">
        <v>249</v>
      </c>
      <c r="C23" s="153">
        <v>1</v>
      </c>
      <c r="D23" s="152">
        <f>ROUND((24179.43*1.1),0)</f>
        <v>26597</v>
      </c>
      <c r="E23" s="151" t="s">
        <v>235</v>
      </c>
      <c r="F23" s="226"/>
    </row>
    <row r="24" spans="1:6" x14ac:dyDescent="0.35">
      <c r="A24" s="153" t="s">
        <v>248</v>
      </c>
      <c r="B24" s="154" t="s">
        <v>247</v>
      </c>
      <c r="C24" s="153">
        <v>7</v>
      </c>
      <c r="D24" s="152">
        <f>ROUND(35000*7,2)</f>
        <v>245000</v>
      </c>
      <c r="E24" s="151" t="s">
        <v>235</v>
      </c>
      <c r="F24" s="226"/>
    </row>
    <row r="25" spans="1:6" x14ac:dyDescent="0.35">
      <c r="A25" s="153" t="s">
        <v>246</v>
      </c>
      <c r="B25" s="154" t="s">
        <v>90</v>
      </c>
      <c r="C25" s="153">
        <v>25</v>
      </c>
      <c r="D25" s="152">
        <f>ROUND((387.2*25*1.1),0)</f>
        <v>10648</v>
      </c>
      <c r="E25" s="151" t="s">
        <v>235</v>
      </c>
      <c r="F25" s="226"/>
    </row>
    <row r="26" spans="1:6" x14ac:dyDescent="0.35">
      <c r="A26" s="153" t="s">
        <v>245</v>
      </c>
      <c r="B26" s="154" t="s">
        <v>244</v>
      </c>
      <c r="C26" s="153">
        <v>20</v>
      </c>
      <c r="D26" s="152">
        <f>ROUND((35.09*20*1.1),0)</f>
        <v>772</v>
      </c>
      <c r="E26" s="151" t="s">
        <v>235</v>
      </c>
      <c r="F26" s="226"/>
    </row>
    <row r="27" spans="1:6" x14ac:dyDescent="0.35">
      <c r="A27" s="153" t="s">
        <v>243</v>
      </c>
      <c r="B27" s="154" t="s">
        <v>242</v>
      </c>
      <c r="C27" s="153">
        <v>1</v>
      </c>
      <c r="D27" s="152">
        <f>ROUND(11495*1.1,0)</f>
        <v>12645</v>
      </c>
      <c r="E27" s="151" t="s">
        <v>230</v>
      </c>
      <c r="F27" s="226"/>
    </row>
    <row r="28" spans="1:6" x14ac:dyDescent="0.35">
      <c r="A28" s="153" t="s">
        <v>241</v>
      </c>
      <c r="B28" s="154" t="s">
        <v>240</v>
      </c>
      <c r="C28" s="153">
        <v>5</v>
      </c>
      <c r="D28" s="152">
        <f>ROUND((310.97*3*1.1),0)</f>
        <v>1026</v>
      </c>
      <c r="E28" s="151" t="s">
        <v>235</v>
      </c>
      <c r="F28" s="226"/>
    </row>
    <row r="29" spans="1:6" x14ac:dyDescent="0.35">
      <c r="A29" s="153" t="s">
        <v>239</v>
      </c>
      <c r="B29" s="154" t="s">
        <v>238</v>
      </c>
      <c r="C29" s="153">
        <v>2</v>
      </c>
      <c r="D29" s="152">
        <f>ROUND((3025*2*1.1),0)</f>
        <v>6655</v>
      </c>
      <c r="E29" s="151" t="s">
        <v>235</v>
      </c>
      <c r="F29" s="226"/>
    </row>
    <row r="30" spans="1:6" x14ac:dyDescent="0.35">
      <c r="A30" s="153" t="s">
        <v>237</v>
      </c>
      <c r="B30" s="154" t="s">
        <v>236</v>
      </c>
      <c r="C30" s="153">
        <v>3</v>
      </c>
      <c r="D30" s="152">
        <f>ROUND((156.09*3*1.1),0)</f>
        <v>515</v>
      </c>
      <c r="E30" s="151" t="s">
        <v>235</v>
      </c>
      <c r="F30" s="226"/>
    </row>
    <row r="31" spans="1:6" x14ac:dyDescent="0.35">
      <c r="A31" s="153" t="s">
        <v>234</v>
      </c>
      <c r="B31" s="154" t="s">
        <v>233</v>
      </c>
      <c r="C31" s="153">
        <v>1</v>
      </c>
      <c r="D31" s="152">
        <f>ROUND(8527.11*1.1,0)</f>
        <v>9380</v>
      </c>
      <c r="E31" s="151" t="s">
        <v>230</v>
      </c>
      <c r="F31" s="226"/>
    </row>
    <row r="32" spans="1:6" ht="28" x14ac:dyDescent="0.35">
      <c r="A32" s="153" t="s">
        <v>232</v>
      </c>
      <c r="B32" s="154" t="s">
        <v>231</v>
      </c>
      <c r="C32" s="153">
        <v>1</v>
      </c>
      <c r="D32" s="152">
        <f>ROUND(8560.75*1.1,0)</f>
        <v>9417</v>
      </c>
      <c r="E32" s="151" t="s">
        <v>230</v>
      </c>
      <c r="F32" s="227"/>
    </row>
    <row r="33" spans="1:6" x14ac:dyDescent="0.35">
      <c r="A33" s="153" t="s">
        <v>229</v>
      </c>
      <c r="B33" s="154" t="s">
        <v>228</v>
      </c>
      <c r="C33" s="153">
        <v>1</v>
      </c>
      <c r="D33" s="152">
        <f>ROUND(4628.25*1.1,0)</f>
        <v>5091</v>
      </c>
      <c r="E33" s="151" t="s">
        <v>227</v>
      </c>
      <c r="F33" s="150"/>
    </row>
    <row r="34" spans="1:6" x14ac:dyDescent="0.35">
      <c r="A34" s="231" t="s">
        <v>226</v>
      </c>
      <c r="B34" s="231"/>
      <c r="C34" s="231"/>
      <c r="D34" s="149">
        <f>SUM(D21:D32)</f>
        <v>563766</v>
      </c>
      <c r="E34" s="146"/>
      <c r="F34" s="146"/>
    </row>
    <row r="35" spans="1:6" x14ac:dyDescent="0.35">
      <c r="A35" s="148"/>
      <c r="B35" s="146"/>
      <c r="C35" s="148"/>
      <c r="D35" s="146"/>
      <c r="E35" s="146"/>
      <c r="F35" s="146"/>
    </row>
    <row r="36" spans="1:6" ht="15.5" x14ac:dyDescent="0.35">
      <c r="A36" s="224" t="s">
        <v>225</v>
      </c>
      <c r="B36" s="224"/>
      <c r="C36" s="224"/>
      <c r="D36" s="147">
        <f>SUM(D18+D34)</f>
        <v>1190485</v>
      </c>
      <c r="E36" s="146"/>
      <c r="F36" s="146"/>
    </row>
  </sheetData>
  <mergeCells count="12">
    <mergeCell ref="G1:H1"/>
    <mergeCell ref="A36:C36"/>
    <mergeCell ref="F21:F32"/>
    <mergeCell ref="A18:C18"/>
    <mergeCell ref="A20:D20"/>
    <mergeCell ref="A34:C34"/>
    <mergeCell ref="A16:C16"/>
    <mergeCell ref="A4:D4"/>
    <mergeCell ref="A13:D13"/>
    <mergeCell ref="F13:F15"/>
    <mergeCell ref="F5:F11"/>
    <mergeCell ref="A12:C12"/>
  </mergeCells>
  <pageMargins left="0.7" right="0.7" top="0.75" bottom="0.75" header="0.3" footer="0.3"/>
  <pageSetup paperSize="9" scale="63" fitToHeight="0" orientation="landscape" r:id="rId1"/>
  <rowBreaks count="1" manualBreakCount="1">
    <brk id="1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04A66-C1CE-4451-985A-7B37C32363E7}">
  <sheetPr>
    <pageSetUpPr fitToPage="1"/>
  </sheetPr>
  <dimension ref="A1:G40"/>
  <sheetViews>
    <sheetView workbookViewId="0">
      <selection activeCell="E1" sqref="E1:G1"/>
    </sheetView>
  </sheetViews>
  <sheetFormatPr defaultColWidth="9.1796875" defaultRowHeight="14.5" x14ac:dyDescent="0.35"/>
  <cols>
    <col min="1" max="1" width="40.26953125" style="6" customWidth="1"/>
    <col min="2" max="2" width="17" style="5" customWidth="1"/>
    <col min="3" max="3" width="13.7265625" style="5" customWidth="1"/>
    <col min="4" max="4" width="17.54296875" style="5" customWidth="1"/>
    <col min="5" max="16384" width="9.1796875" style="5"/>
  </cols>
  <sheetData>
    <row r="1" spans="1:7" ht="89.25" customHeight="1" x14ac:dyDescent="0.35">
      <c r="E1" s="244" t="s">
        <v>359</v>
      </c>
      <c r="F1" s="244"/>
      <c r="G1" s="244"/>
    </row>
    <row r="2" spans="1:7" ht="42.75" customHeight="1" x14ac:dyDescent="0.35">
      <c r="A2" s="243" t="s">
        <v>310</v>
      </c>
      <c r="B2" s="243"/>
      <c r="C2" s="243"/>
      <c r="D2" s="243"/>
    </row>
    <row r="3" spans="1:7" ht="29" x14ac:dyDescent="0.35">
      <c r="A3" s="170" t="s">
        <v>50</v>
      </c>
      <c r="B3" s="170" t="s">
        <v>288</v>
      </c>
      <c r="C3" s="170" t="s">
        <v>55</v>
      </c>
      <c r="D3" s="170" t="s">
        <v>287</v>
      </c>
    </row>
    <row r="4" spans="1:7" ht="15.5" x14ac:dyDescent="0.35">
      <c r="A4" s="171" t="s">
        <v>309</v>
      </c>
      <c r="B4" s="174">
        <f>(2990+820)*1.21</f>
        <v>4610.0999999999995</v>
      </c>
      <c r="C4" s="177" t="s">
        <v>308</v>
      </c>
      <c r="D4" s="174">
        <f t="shared" ref="D4:D12" si="0">B4*C4</f>
        <v>23050.499999999996</v>
      </c>
    </row>
    <row r="5" spans="1:7" ht="15.5" x14ac:dyDescent="0.35">
      <c r="A5" s="171" t="s">
        <v>307</v>
      </c>
      <c r="B5" s="174">
        <v>500</v>
      </c>
      <c r="C5" s="177" t="s">
        <v>290</v>
      </c>
      <c r="D5" s="174">
        <f t="shared" si="0"/>
        <v>15000</v>
      </c>
    </row>
    <row r="6" spans="1:7" x14ac:dyDescent="0.35">
      <c r="A6" s="11" t="s">
        <v>306</v>
      </c>
      <c r="B6" s="174">
        <f>16000*1.21</f>
        <v>19360</v>
      </c>
      <c r="C6" s="176" t="s">
        <v>305</v>
      </c>
      <c r="D6" s="174">
        <f t="shared" si="0"/>
        <v>77440</v>
      </c>
    </row>
    <row r="7" spans="1:7" x14ac:dyDescent="0.35">
      <c r="A7" s="11" t="s">
        <v>304</v>
      </c>
      <c r="B7" s="174">
        <v>726</v>
      </c>
      <c r="C7" s="176" t="s">
        <v>303</v>
      </c>
      <c r="D7" s="174">
        <f t="shared" si="0"/>
        <v>46464</v>
      </c>
    </row>
    <row r="8" spans="1:7" x14ac:dyDescent="0.35">
      <c r="A8" s="11" t="s">
        <v>302</v>
      </c>
      <c r="B8" s="174">
        <v>108950</v>
      </c>
      <c r="C8" s="176" t="s">
        <v>293</v>
      </c>
      <c r="D8" s="174">
        <f t="shared" si="0"/>
        <v>108950</v>
      </c>
    </row>
    <row r="9" spans="1:7" x14ac:dyDescent="0.35">
      <c r="A9" s="11" t="s">
        <v>301</v>
      </c>
      <c r="B9" s="174">
        <v>12000</v>
      </c>
      <c r="C9" s="175">
        <v>4</v>
      </c>
      <c r="D9" s="174">
        <f t="shared" si="0"/>
        <v>48000</v>
      </c>
    </row>
    <row r="10" spans="1:7" x14ac:dyDescent="0.35">
      <c r="A10" s="11" t="s">
        <v>300</v>
      </c>
      <c r="B10" s="174">
        <v>3500</v>
      </c>
      <c r="C10" s="175">
        <v>50</v>
      </c>
      <c r="D10" s="174">
        <f t="shared" si="0"/>
        <v>175000</v>
      </c>
    </row>
    <row r="11" spans="1:7" x14ac:dyDescent="0.35">
      <c r="A11" s="11" t="s">
        <v>299</v>
      </c>
      <c r="B11" s="174">
        <v>12000</v>
      </c>
      <c r="C11" s="175">
        <v>2</v>
      </c>
      <c r="D11" s="174">
        <f t="shared" si="0"/>
        <v>24000</v>
      </c>
    </row>
    <row r="12" spans="1:7" x14ac:dyDescent="0.35">
      <c r="A12" s="11" t="s">
        <v>298</v>
      </c>
      <c r="B12" s="174">
        <v>66550</v>
      </c>
      <c r="C12" s="175">
        <v>1</v>
      </c>
      <c r="D12" s="174">
        <f t="shared" si="0"/>
        <v>66550</v>
      </c>
    </row>
    <row r="13" spans="1:7" x14ac:dyDescent="0.35">
      <c r="C13" s="173" t="s">
        <v>284</v>
      </c>
      <c r="D13" s="172">
        <f>SUM(D4:D12)</f>
        <v>584454.5</v>
      </c>
    </row>
    <row r="15" spans="1:7" ht="37.5" customHeight="1" x14ac:dyDescent="0.35">
      <c r="A15" s="243" t="s">
        <v>297</v>
      </c>
      <c r="B15" s="243"/>
      <c r="C15" s="243"/>
      <c r="D15" s="243"/>
    </row>
    <row r="16" spans="1:7" ht="29" x14ac:dyDescent="0.35">
      <c r="A16" s="170" t="s">
        <v>50</v>
      </c>
      <c r="B16" s="170" t="s">
        <v>288</v>
      </c>
      <c r="C16" s="170" t="s">
        <v>55</v>
      </c>
      <c r="D16" s="170" t="s">
        <v>287</v>
      </c>
    </row>
    <row r="17" spans="1:4" ht="31" x14ac:dyDescent="0.35">
      <c r="A17" s="171" t="s">
        <v>296</v>
      </c>
      <c r="B17" s="166">
        <v>125000</v>
      </c>
      <c r="C17" s="167" t="s">
        <v>293</v>
      </c>
      <c r="D17" s="166">
        <f>B17*C17</f>
        <v>125000</v>
      </c>
    </row>
    <row r="18" spans="1:4" ht="15.5" x14ac:dyDescent="0.35">
      <c r="A18" s="171" t="s">
        <v>295</v>
      </c>
      <c r="B18" s="166">
        <v>62000</v>
      </c>
      <c r="C18" s="167" t="s">
        <v>293</v>
      </c>
      <c r="D18" s="166">
        <f>B18*C18</f>
        <v>62000</v>
      </c>
    </row>
    <row r="19" spans="1:4" ht="31" x14ac:dyDescent="0.35">
      <c r="A19" s="171" t="s">
        <v>294</v>
      </c>
      <c r="B19" s="166">
        <v>125000</v>
      </c>
      <c r="C19" s="167" t="s">
        <v>293</v>
      </c>
      <c r="D19" s="166">
        <f>B19*C19</f>
        <v>125000</v>
      </c>
    </row>
    <row r="20" spans="1:4" ht="15.5" x14ac:dyDescent="0.35">
      <c r="A20" s="171" t="s">
        <v>292</v>
      </c>
      <c r="B20" s="166">
        <v>150</v>
      </c>
      <c r="C20" s="167" t="s">
        <v>285</v>
      </c>
      <c r="D20" s="166">
        <f>B20*C20</f>
        <v>3000</v>
      </c>
    </row>
    <row r="21" spans="1:4" ht="15.5" x14ac:dyDescent="0.35">
      <c r="A21" s="171" t="s">
        <v>291</v>
      </c>
      <c r="B21" s="166">
        <v>1200</v>
      </c>
      <c r="C21" s="167" t="s">
        <v>290</v>
      </c>
      <c r="D21" s="166">
        <f>B21*C21</f>
        <v>36000</v>
      </c>
    </row>
    <row r="22" spans="1:4" x14ac:dyDescent="0.35">
      <c r="B22" s="6"/>
      <c r="C22" s="165" t="s">
        <v>284</v>
      </c>
      <c r="D22" s="164">
        <f>SUM(D17:D21)</f>
        <v>351000</v>
      </c>
    </row>
    <row r="23" spans="1:4" x14ac:dyDescent="0.35">
      <c r="A23" s="5"/>
    </row>
    <row r="25" spans="1:4" ht="42" customHeight="1" x14ac:dyDescent="0.35">
      <c r="A25" s="243" t="s">
        <v>289</v>
      </c>
      <c r="B25" s="243"/>
      <c r="C25" s="243"/>
      <c r="D25" s="243"/>
    </row>
    <row r="26" spans="1:4" ht="29" x14ac:dyDescent="0.35">
      <c r="A26" s="170" t="s">
        <v>50</v>
      </c>
      <c r="B26" s="170" t="s">
        <v>288</v>
      </c>
      <c r="C26" s="170" t="s">
        <v>55</v>
      </c>
      <c r="D26" s="170" t="s">
        <v>287</v>
      </c>
    </row>
    <row r="27" spans="1:4" ht="15.5" x14ac:dyDescent="0.35">
      <c r="A27" s="169" t="s">
        <v>286</v>
      </c>
      <c r="B27" s="168">
        <f>2500*1.21</f>
        <v>3025</v>
      </c>
      <c r="C27" s="167" t="s">
        <v>285</v>
      </c>
      <c r="D27" s="166">
        <f>B27*C27</f>
        <v>60500</v>
      </c>
    </row>
    <row r="28" spans="1:4" x14ac:dyDescent="0.35">
      <c r="B28" s="6"/>
      <c r="C28" s="165" t="s">
        <v>284</v>
      </c>
      <c r="D28" s="164">
        <f>SUM(D27:D27)</f>
        <v>60500</v>
      </c>
    </row>
    <row r="33" spans="1:4" ht="45" customHeight="1" x14ac:dyDescent="0.35">
      <c r="A33" s="243" t="s">
        <v>317</v>
      </c>
      <c r="B33" s="243"/>
      <c r="C33" s="243"/>
      <c r="D33" s="243"/>
    </row>
    <row r="34" spans="1:4" x14ac:dyDescent="0.35">
      <c r="A34" s="187" t="s">
        <v>318</v>
      </c>
      <c r="B34" s="188"/>
      <c r="C34" s="188"/>
      <c r="D34" s="166">
        <v>2000</v>
      </c>
    </row>
    <row r="35" spans="1:4" ht="29" x14ac:dyDescent="0.35">
      <c r="A35" s="189" t="s">
        <v>319</v>
      </c>
      <c r="B35" s="188"/>
      <c r="C35" s="188"/>
      <c r="D35" s="166">
        <v>1000</v>
      </c>
    </row>
    <row r="36" spans="1:4" x14ac:dyDescent="0.35">
      <c r="A36" s="187" t="s">
        <v>320</v>
      </c>
      <c r="B36" s="188"/>
      <c r="C36" s="188"/>
      <c r="D36" s="166">
        <v>6500</v>
      </c>
    </row>
    <row r="37" spans="1:4" x14ac:dyDescent="0.35">
      <c r="A37" s="187" t="s">
        <v>321</v>
      </c>
      <c r="B37" s="188"/>
      <c r="C37" s="188"/>
      <c r="D37" s="166">
        <v>1500</v>
      </c>
    </row>
    <row r="38" spans="1:4" x14ac:dyDescent="0.35">
      <c r="C38" s="185" t="s">
        <v>284</v>
      </c>
      <c r="D38" s="186">
        <f>SUM(D34:D37)</f>
        <v>11000</v>
      </c>
    </row>
    <row r="40" spans="1:4" x14ac:dyDescent="0.35">
      <c r="D40" s="190">
        <f>D13+D22+D28+D38</f>
        <v>1006954.5</v>
      </c>
    </row>
  </sheetData>
  <mergeCells count="5">
    <mergeCell ref="A2:D2"/>
    <mergeCell ref="A15:D15"/>
    <mergeCell ref="A25:D25"/>
    <mergeCell ref="A33:D33"/>
    <mergeCell ref="E1:G1"/>
  </mergeCells>
  <pageMargins left="0.7" right="0.7" top="0.75" bottom="0.75" header="0.3" footer="0.3"/>
  <pageSetup paperSize="9" scale="98"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F1AA-F23D-4BEE-9A11-8E80712306E9}">
  <dimension ref="A1:J28"/>
  <sheetViews>
    <sheetView workbookViewId="0">
      <selection activeCell="H1" sqref="H1:J1"/>
    </sheetView>
  </sheetViews>
  <sheetFormatPr defaultColWidth="8.81640625" defaultRowHeight="15.5" x14ac:dyDescent="0.35"/>
  <cols>
    <col min="1" max="1" width="5.81640625" style="192" customWidth="1"/>
    <col min="2" max="2" width="62.54296875" style="192" customWidth="1"/>
    <col min="3" max="3" width="12" style="192" customWidth="1"/>
    <col min="4" max="4" width="8.81640625" style="192"/>
    <col min="5" max="5" width="13.7265625" style="192" customWidth="1"/>
    <col min="6" max="6" width="12" style="192" customWidth="1"/>
    <col min="7" max="7" width="8.81640625" style="192"/>
    <col min="8" max="8" width="11.453125" style="192" customWidth="1"/>
    <col min="9" max="16384" width="8.81640625" style="192"/>
  </cols>
  <sheetData>
    <row r="1" spans="1:10" ht="78" customHeight="1" x14ac:dyDescent="0.35">
      <c r="H1" s="251" t="s">
        <v>360</v>
      </c>
      <c r="I1" s="251"/>
      <c r="J1" s="251"/>
    </row>
    <row r="2" spans="1:10" x14ac:dyDescent="0.35">
      <c r="A2" s="192" t="s">
        <v>343</v>
      </c>
    </row>
    <row r="4" spans="1:10" ht="42.75" customHeight="1" x14ac:dyDescent="0.35">
      <c r="C4" s="245" t="s">
        <v>345</v>
      </c>
      <c r="D4" s="245"/>
      <c r="E4" s="245"/>
      <c r="F4" s="246" t="s">
        <v>346</v>
      </c>
      <c r="G4" s="246"/>
      <c r="H4" s="246"/>
    </row>
    <row r="5" spans="1:10" ht="48" customHeight="1" x14ac:dyDescent="0.35">
      <c r="A5" s="195" t="s">
        <v>342</v>
      </c>
      <c r="B5" s="195" t="s">
        <v>341</v>
      </c>
      <c r="C5" s="195" t="s">
        <v>340</v>
      </c>
      <c r="D5" s="195" t="s">
        <v>46</v>
      </c>
      <c r="E5" s="195" t="s">
        <v>339</v>
      </c>
      <c r="F5" s="195" t="s">
        <v>340</v>
      </c>
      <c r="G5" s="195" t="s">
        <v>46</v>
      </c>
      <c r="H5" s="195" t="s">
        <v>339</v>
      </c>
    </row>
    <row r="6" spans="1:10" x14ac:dyDescent="0.35">
      <c r="A6" s="253" t="s">
        <v>338</v>
      </c>
      <c r="B6" s="254"/>
      <c r="C6" s="254"/>
      <c r="D6" s="254"/>
      <c r="E6" s="255"/>
    </row>
    <row r="7" spans="1:10" ht="28.5" customHeight="1" x14ac:dyDescent="0.35">
      <c r="A7" s="195">
        <v>1</v>
      </c>
      <c r="B7" s="195" t="s">
        <v>337</v>
      </c>
      <c r="C7" s="196"/>
      <c r="D7" s="196"/>
      <c r="E7" s="196"/>
      <c r="F7" s="195">
        <v>9000</v>
      </c>
      <c r="G7" s="195">
        <v>1</v>
      </c>
      <c r="H7" s="195">
        <f>F7*G7</f>
        <v>9000</v>
      </c>
      <c r="I7" s="192">
        <v>2022</v>
      </c>
    </row>
    <row r="8" spans="1:10" ht="28.5" customHeight="1" x14ac:dyDescent="0.35">
      <c r="A8" s="195">
        <v>2</v>
      </c>
      <c r="B8" s="195" t="s">
        <v>336</v>
      </c>
      <c r="C8" s="196"/>
      <c r="D8" s="196"/>
      <c r="E8" s="196"/>
      <c r="F8" s="195">
        <v>7500</v>
      </c>
      <c r="G8" s="195">
        <v>2</v>
      </c>
      <c r="H8" s="195">
        <f>F8*G8</f>
        <v>15000</v>
      </c>
      <c r="I8" s="192">
        <v>2022</v>
      </c>
    </row>
    <row r="9" spans="1:10" ht="28.5" customHeight="1" x14ac:dyDescent="0.35">
      <c r="A9" s="195">
        <v>3</v>
      </c>
      <c r="B9" s="197" t="s">
        <v>335</v>
      </c>
      <c r="C9" s="195">
        <v>4000</v>
      </c>
      <c r="D9" s="195">
        <v>1</v>
      </c>
      <c r="E9" s="195">
        <f>C9*D9</f>
        <v>4000</v>
      </c>
      <c r="F9" s="196"/>
      <c r="G9" s="196"/>
      <c r="H9" s="196"/>
      <c r="I9" s="192">
        <v>2021</v>
      </c>
    </row>
    <row r="10" spans="1:10" ht="24.75" customHeight="1" x14ac:dyDescent="0.35">
      <c r="A10" s="195">
        <v>4</v>
      </c>
      <c r="B10" s="197" t="s">
        <v>334</v>
      </c>
      <c r="C10" s="195">
        <v>1300</v>
      </c>
      <c r="D10" s="195">
        <v>3</v>
      </c>
      <c r="E10" s="195">
        <f>C10*D10</f>
        <v>3900</v>
      </c>
      <c r="F10" s="196"/>
      <c r="G10" s="196"/>
      <c r="H10" s="196"/>
      <c r="I10" s="192">
        <v>2021</v>
      </c>
    </row>
    <row r="11" spans="1:10" ht="24.75" customHeight="1" x14ac:dyDescent="0.35">
      <c r="A11" s="195">
        <v>5</v>
      </c>
      <c r="B11" s="196" t="s">
        <v>333</v>
      </c>
      <c r="C11" s="196">
        <v>10000</v>
      </c>
      <c r="D11" s="195">
        <v>1</v>
      </c>
      <c r="E11" s="195">
        <f>C11*D11</f>
        <v>10000</v>
      </c>
      <c r="F11" s="196"/>
      <c r="G11" s="196"/>
      <c r="H11" s="196"/>
      <c r="I11" s="192">
        <v>2021</v>
      </c>
    </row>
    <row r="12" spans="1:10" ht="24.75" customHeight="1" x14ac:dyDescent="0.35">
      <c r="A12" s="195">
        <v>6</v>
      </c>
      <c r="B12" s="195" t="s">
        <v>332</v>
      </c>
      <c r="C12" s="195">
        <v>1500</v>
      </c>
      <c r="D12" s="195">
        <v>3</v>
      </c>
      <c r="E12" s="195">
        <f>C12*D12</f>
        <v>4500</v>
      </c>
      <c r="F12" s="196"/>
      <c r="G12" s="196"/>
      <c r="H12" s="196"/>
      <c r="I12" s="192">
        <v>2021</v>
      </c>
    </row>
    <row r="13" spans="1:10" ht="24.75" customHeight="1" x14ac:dyDescent="0.35">
      <c r="A13" s="195">
        <v>7</v>
      </c>
      <c r="B13" s="195" t="s">
        <v>331</v>
      </c>
      <c r="C13" s="195">
        <v>1200</v>
      </c>
      <c r="D13" s="195">
        <v>1</v>
      </c>
      <c r="E13" s="195">
        <f>C13*D13</f>
        <v>1200</v>
      </c>
      <c r="F13" s="196"/>
      <c r="G13" s="196"/>
      <c r="H13" s="196"/>
      <c r="I13" s="192">
        <v>2021</v>
      </c>
    </row>
    <row r="14" spans="1:10" ht="24.75" customHeight="1" x14ac:dyDescent="0.35">
      <c r="A14" s="195">
        <v>8</v>
      </c>
      <c r="B14" s="195" t="s">
        <v>330</v>
      </c>
      <c r="C14" s="196"/>
      <c r="D14" s="196"/>
      <c r="E14" s="196"/>
      <c r="F14" s="195">
        <v>8500</v>
      </c>
      <c r="G14" s="195">
        <v>1</v>
      </c>
      <c r="H14" s="195">
        <f>F14*G14</f>
        <v>8500</v>
      </c>
      <c r="I14" s="192" t="s">
        <v>344</v>
      </c>
    </row>
    <row r="15" spans="1:10" ht="24.75" customHeight="1" x14ac:dyDescent="0.35">
      <c r="A15" s="195">
        <v>9</v>
      </c>
      <c r="B15" s="195" t="s">
        <v>329</v>
      </c>
      <c r="C15" s="196"/>
      <c r="D15" s="196"/>
      <c r="E15" s="196"/>
      <c r="F15" s="195">
        <v>1150</v>
      </c>
      <c r="G15" s="195">
        <v>20</v>
      </c>
      <c r="H15" s="195">
        <f>F15*G15</f>
        <v>23000</v>
      </c>
      <c r="I15" s="192">
        <v>2022</v>
      </c>
    </row>
    <row r="16" spans="1:10" ht="24.75" customHeight="1" x14ac:dyDescent="0.35">
      <c r="A16" s="195">
        <v>10</v>
      </c>
      <c r="B16" s="195" t="s">
        <v>328</v>
      </c>
      <c r="C16" s="195">
        <v>1150</v>
      </c>
      <c r="D16" s="195">
        <v>4</v>
      </c>
      <c r="E16" s="195">
        <f>C16*D16</f>
        <v>4600</v>
      </c>
      <c r="F16" s="196"/>
      <c r="G16" s="196"/>
      <c r="H16" s="196"/>
      <c r="I16" s="192">
        <v>2021</v>
      </c>
    </row>
    <row r="17" spans="1:9" ht="24.75" customHeight="1" x14ac:dyDescent="0.35">
      <c r="A17" s="194"/>
      <c r="B17" s="193"/>
      <c r="C17" s="252" t="s">
        <v>75</v>
      </c>
      <c r="D17" s="252"/>
      <c r="E17" s="200">
        <f>SUM(E7:E16)</f>
        <v>28200</v>
      </c>
      <c r="H17" s="201">
        <f>SUM(H7:H16)</f>
        <v>55500</v>
      </c>
    </row>
    <row r="18" spans="1:9" ht="24.75" customHeight="1" x14ac:dyDescent="0.35">
      <c r="A18" s="253" t="s">
        <v>327</v>
      </c>
      <c r="B18" s="254" t="s">
        <v>327</v>
      </c>
      <c r="C18" s="254"/>
      <c r="D18" s="254"/>
      <c r="E18" s="255"/>
    </row>
    <row r="19" spans="1:9" ht="33" customHeight="1" x14ac:dyDescent="0.35">
      <c r="A19" s="195">
        <v>111</v>
      </c>
      <c r="B19" s="195" t="s">
        <v>326</v>
      </c>
      <c r="C19" s="195">
        <v>4250</v>
      </c>
      <c r="D19" s="195">
        <v>2</v>
      </c>
      <c r="E19" s="195">
        <f>C19*D19</f>
        <v>8500</v>
      </c>
      <c r="I19" s="192">
        <v>2021</v>
      </c>
    </row>
    <row r="20" spans="1:9" ht="24.75" customHeight="1" x14ac:dyDescent="0.35">
      <c r="A20" s="195">
        <v>12</v>
      </c>
      <c r="B20" s="195" t="s">
        <v>325</v>
      </c>
      <c r="C20" s="195">
        <v>56.2</v>
      </c>
      <c r="D20" s="195">
        <v>6</v>
      </c>
      <c r="E20" s="195">
        <f>C20*D20</f>
        <v>337.20000000000005</v>
      </c>
      <c r="I20" s="192">
        <v>2021</v>
      </c>
    </row>
    <row r="21" spans="1:9" ht="24.75" customHeight="1" x14ac:dyDescent="0.35">
      <c r="A21" s="195">
        <v>13</v>
      </c>
      <c r="B21" s="195" t="s">
        <v>324</v>
      </c>
      <c r="C21" s="195">
        <v>235.4</v>
      </c>
      <c r="D21" s="195">
        <v>36</v>
      </c>
      <c r="E21" s="195">
        <f>C21*D21</f>
        <v>8474.4</v>
      </c>
      <c r="I21" s="192">
        <v>2021</v>
      </c>
    </row>
    <row r="22" spans="1:9" ht="32.25" customHeight="1" x14ac:dyDescent="0.35">
      <c r="A22" s="195">
        <v>14</v>
      </c>
      <c r="B22" s="195" t="s">
        <v>323</v>
      </c>
      <c r="C22" s="195">
        <v>500</v>
      </c>
      <c r="D22" s="195">
        <v>2</v>
      </c>
      <c r="E22" s="195">
        <f>C22*D22</f>
        <v>1000</v>
      </c>
      <c r="I22" s="192">
        <v>2021</v>
      </c>
    </row>
    <row r="23" spans="1:9" ht="30" customHeight="1" x14ac:dyDescent="0.35">
      <c r="A23" s="195">
        <v>15</v>
      </c>
      <c r="B23" s="195" t="s">
        <v>322</v>
      </c>
      <c r="C23" s="195">
        <v>500</v>
      </c>
      <c r="D23" s="195">
        <v>8</v>
      </c>
      <c r="E23" s="195">
        <f>C23*D23</f>
        <v>4000</v>
      </c>
      <c r="I23" s="192">
        <v>2021</v>
      </c>
    </row>
    <row r="24" spans="1:9" ht="30" customHeight="1" x14ac:dyDescent="0.35">
      <c r="A24" s="195"/>
      <c r="B24" s="195"/>
      <c r="C24" s="252" t="s">
        <v>75</v>
      </c>
      <c r="D24" s="252"/>
      <c r="E24" s="200">
        <f>SUM(E19:E23)</f>
        <v>22311.599999999999</v>
      </c>
    </row>
    <row r="25" spans="1:9" ht="24.75" customHeight="1" x14ac:dyDescent="0.35">
      <c r="A25" s="247" t="s">
        <v>347</v>
      </c>
      <c r="B25" s="248"/>
      <c r="C25" s="249"/>
      <c r="D25" s="250"/>
      <c r="E25" s="199">
        <f>E17+E24</f>
        <v>50511.6</v>
      </c>
    </row>
    <row r="26" spans="1:9" x14ac:dyDescent="0.35">
      <c r="A26" s="247" t="s">
        <v>348</v>
      </c>
      <c r="B26" s="248"/>
      <c r="C26" s="249"/>
      <c r="D26" s="250"/>
      <c r="H26" s="199">
        <f>H17</f>
        <v>55500</v>
      </c>
    </row>
    <row r="28" spans="1:9" x14ac:dyDescent="0.35">
      <c r="E28" s="198">
        <f>E25+H26</f>
        <v>106011.6</v>
      </c>
    </row>
  </sheetData>
  <mergeCells count="9">
    <mergeCell ref="C4:E4"/>
    <mergeCell ref="F4:H4"/>
    <mergeCell ref="A26:D26"/>
    <mergeCell ref="H1:J1"/>
    <mergeCell ref="C24:D24"/>
    <mergeCell ref="A25:D25"/>
    <mergeCell ref="A6:E6"/>
    <mergeCell ref="C17:D17"/>
    <mergeCell ref="A18:E18"/>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4A96-E7D7-4835-B381-9EDD1CE614AA}">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5598-FC54-4D24-8D75-AA1976FF0A5C}">
  <dimension ref="A1:E16"/>
  <sheetViews>
    <sheetView workbookViewId="0">
      <selection activeCell="E1" sqref="E1"/>
    </sheetView>
  </sheetViews>
  <sheetFormatPr defaultColWidth="9.1796875" defaultRowHeight="14.5" x14ac:dyDescent="0.35"/>
  <cols>
    <col min="1" max="1" width="9.1796875" style="1"/>
    <col min="2" max="2" width="45.81640625" style="1" customWidth="1"/>
    <col min="3" max="3" width="20.1796875" style="42" customWidth="1"/>
    <col min="4" max="4" width="9.1796875" style="1"/>
    <col min="5" max="5" width="46.453125" style="1" customWidth="1"/>
    <col min="6" max="16384" width="9.1796875" style="1"/>
  </cols>
  <sheetData>
    <row r="1" spans="1:5" ht="72.5" x14ac:dyDescent="0.35">
      <c r="E1" s="202" t="s">
        <v>350</v>
      </c>
    </row>
    <row r="2" spans="1:5" x14ac:dyDescent="0.35">
      <c r="A2" s="35" t="s">
        <v>15</v>
      </c>
      <c r="B2" s="36" t="s">
        <v>14</v>
      </c>
      <c r="C2" s="37" t="s">
        <v>13</v>
      </c>
    </row>
    <row r="3" spans="1:5" x14ac:dyDescent="0.35">
      <c r="A3" s="38">
        <v>1</v>
      </c>
      <c r="B3" s="39" t="s">
        <v>12</v>
      </c>
      <c r="C3" s="40">
        <v>2446320.5699999998</v>
      </c>
    </row>
    <row r="4" spans="1:5" ht="43.5" x14ac:dyDescent="0.35">
      <c r="A4" s="38">
        <v>2</v>
      </c>
      <c r="B4" s="39" t="s">
        <v>80</v>
      </c>
      <c r="C4" s="40">
        <v>35000</v>
      </c>
    </row>
    <row r="5" spans="1:5" x14ac:dyDescent="0.35">
      <c r="A5" s="38">
        <v>3</v>
      </c>
      <c r="B5" s="39" t="s">
        <v>11</v>
      </c>
      <c r="C5" s="40"/>
    </row>
    <row r="6" spans="1:5" x14ac:dyDescent="0.35">
      <c r="A6" s="38">
        <v>4</v>
      </c>
      <c r="B6" s="39" t="s">
        <v>10</v>
      </c>
      <c r="C6" s="40"/>
    </row>
    <row r="7" spans="1:5" x14ac:dyDescent="0.35">
      <c r="A7" s="38">
        <v>5</v>
      </c>
      <c r="B7" s="39" t="s">
        <v>9</v>
      </c>
      <c r="C7" s="40">
        <f>250000+10000</f>
        <v>260000</v>
      </c>
    </row>
    <row r="8" spans="1:5" x14ac:dyDescent="0.35">
      <c r="A8" s="38">
        <v>6</v>
      </c>
      <c r="B8" s="39" t="s">
        <v>8</v>
      </c>
      <c r="C8" s="40">
        <v>85000</v>
      </c>
    </row>
    <row r="9" spans="1:5" x14ac:dyDescent="0.35">
      <c r="A9" s="38">
        <v>7</v>
      </c>
      <c r="B9" s="39" t="s">
        <v>7</v>
      </c>
      <c r="C9" s="40"/>
    </row>
    <row r="10" spans="1:5" x14ac:dyDescent="0.35">
      <c r="A10" s="38">
        <v>8</v>
      </c>
      <c r="B10" s="39" t="s">
        <v>6</v>
      </c>
      <c r="C10" s="40"/>
    </row>
    <row r="11" spans="1:5" x14ac:dyDescent="0.35">
      <c r="A11" s="38">
        <v>9</v>
      </c>
      <c r="B11" s="39" t="s">
        <v>5</v>
      </c>
      <c r="C11" s="40"/>
    </row>
    <row r="12" spans="1:5" x14ac:dyDescent="0.35">
      <c r="B12" s="41" t="s">
        <v>4</v>
      </c>
      <c r="C12" s="34">
        <f>SUM(C3:C11)</f>
        <v>2826320.57</v>
      </c>
    </row>
    <row r="16" spans="1:5" ht="45" customHeight="1" x14ac:dyDescent="0.35">
      <c r="B16" s="33" t="s">
        <v>79</v>
      </c>
      <c r="C16" s="34">
        <v>7588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673BB-EC78-4E5C-8D73-B1633559AC45}">
  <dimension ref="A1:K39"/>
  <sheetViews>
    <sheetView workbookViewId="0">
      <selection activeCell="H1" sqref="H1:J1"/>
    </sheetView>
  </sheetViews>
  <sheetFormatPr defaultColWidth="9.1796875" defaultRowHeight="14.5" x14ac:dyDescent="0.35"/>
  <cols>
    <col min="1" max="1" width="9.1796875" style="6"/>
    <col min="2" max="2" width="42.453125" style="5" customWidth="1"/>
    <col min="3" max="3" width="12.81640625" style="30" customWidth="1"/>
    <col min="4" max="4" width="15.7265625" style="30" customWidth="1"/>
    <col min="5" max="8" width="14.1796875" style="30" customWidth="1"/>
    <col min="9" max="9" width="9.1796875" style="5"/>
    <col min="10" max="10" width="16.453125" style="5" customWidth="1"/>
    <col min="11" max="16384" width="9.1796875" style="5"/>
  </cols>
  <sheetData>
    <row r="1" spans="1:11" ht="85.5" customHeight="1" x14ac:dyDescent="0.35">
      <c r="H1" s="206" t="s">
        <v>351</v>
      </c>
      <c r="I1" s="206"/>
      <c r="J1" s="206"/>
    </row>
    <row r="2" spans="1:11" x14ac:dyDescent="0.35">
      <c r="A2" s="204" t="s">
        <v>51</v>
      </c>
      <c r="B2" s="204" t="s">
        <v>50</v>
      </c>
      <c r="C2" s="205" t="s">
        <v>49</v>
      </c>
      <c r="D2" s="205"/>
      <c r="E2" s="205"/>
      <c r="F2" s="205" t="s">
        <v>48</v>
      </c>
      <c r="G2" s="205"/>
      <c r="H2" s="205"/>
    </row>
    <row r="3" spans="1:11" s="6" customFormat="1" ht="29" x14ac:dyDescent="0.35">
      <c r="A3" s="204"/>
      <c r="B3" s="204"/>
      <c r="C3" s="21" t="s">
        <v>47</v>
      </c>
      <c r="D3" s="21" t="s">
        <v>46</v>
      </c>
      <c r="E3" s="21" t="s">
        <v>43</v>
      </c>
      <c r="F3" s="21" t="s">
        <v>45</v>
      </c>
      <c r="G3" s="21" t="s">
        <v>44</v>
      </c>
      <c r="H3" s="21" t="s">
        <v>43</v>
      </c>
    </row>
    <row r="4" spans="1:11" x14ac:dyDescent="0.35">
      <c r="A4" s="16" t="s">
        <v>42</v>
      </c>
      <c r="B4" s="17"/>
      <c r="C4" s="22"/>
      <c r="D4" s="22"/>
      <c r="E4" s="22">
        <f>SUM(E5,E13,E17,E22)</f>
        <v>228956.2</v>
      </c>
      <c r="F4" s="22"/>
      <c r="G4" s="22"/>
      <c r="H4" s="22">
        <f>SUM(H5,H13,H17,H22)</f>
        <v>30021.552000000003</v>
      </c>
      <c r="I4" s="14"/>
      <c r="J4" s="14"/>
      <c r="K4" s="14"/>
    </row>
    <row r="5" spans="1:11" x14ac:dyDescent="0.35">
      <c r="A5" s="13"/>
      <c r="B5" s="13" t="s">
        <v>29</v>
      </c>
      <c r="C5" s="23"/>
      <c r="D5" s="23"/>
      <c r="E5" s="24">
        <f>SUM(E6:E12)</f>
        <v>114913.7</v>
      </c>
      <c r="F5" s="24"/>
      <c r="G5" s="24"/>
      <c r="H5" s="24">
        <f>SUM(H6:H12)</f>
        <v>21780</v>
      </c>
      <c r="I5" s="14"/>
      <c r="J5" s="14"/>
      <c r="K5" s="14"/>
    </row>
    <row r="6" spans="1:11" x14ac:dyDescent="0.35">
      <c r="A6" s="8"/>
      <c r="B6" s="7" t="s">
        <v>41</v>
      </c>
      <c r="C6" s="25"/>
      <c r="D6" s="25">
        <v>1</v>
      </c>
      <c r="E6" s="25">
        <f>(C6*D6)</f>
        <v>0</v>
      </c>
      <c r="F6" s="25">
        <v>1500</v>
      </c>
      <c r="G6" s="25">
        <v>12</v>
      </c>
      <c r="H6" s="25">
        <f>G6*F6*1.21</f>
        <v>21780</v>
      </c>
    </row>
    <row r="7" spans="1:11" x14ac:dyDescent="0.35">
      <c r="A7" s="11"/>
      <c r="B7" s="12" t="s">
        <v>40</v>
      </c>
      <c r="C7" s="26">
        <v>2500</v>
      </c>
      <c r="D7" s="26">
        <v>1</v>
      </c>
      <c r="E7" s="25">
        <f t="shared" ref="E7:E12" si="0">(C7*D7)*1.21</f>
        <v>3025</v>
      </c>
      <c r="F7" s="25"/>
      <c r="G7" s="25"/>
      <c r="H7" s="25"/>
    </row>
    <row r="8" spans="1:11" x14ac:dyDescent="0.35">
      <c r="A8" s="11"/>
      <c r="B8" s="12" t="s">
        <v>39</v>
      </c>
      <c r="C8" s="26">
        <v>8470</v>
      </c>
      <c r="D8" s="26">
        <v>1</v>
      </c>
      <c r="E8" s="25">
        <f t="shared" si="0"/>
        <v>10248.699999999999</v>
      </c>
      <c r="F8" s="25"/>
      <c r="G8" s="25"/>
      <c r="H8" s="25"/>
    </row>
    <row r="9" spans="1:11" x14ac:dyDescent="0.35">
      <c r="A9" s="11"/>
      <c r="B9" s="12" t="s">
        <v>28</v>
      </c>
      <c r="C9" s="26">
        <v>3500</v>
      </c>
      <c r="D9" s="26">
        <v>13</v>
      </c>
      <c r="E9" s="25">
        <f t="shared" si="0"/>
        <v>55055</v>
      </c>
      <c r="F9" s="25"/>
      <c r="G9" s="25"/>
      <c r="H9" s="25"/>
    </row>
    <row r="10" spans="1:11" x14ac:dyDescent="0.35">
      <c r="A10" s="11"/>
      <c r="B10" s="12" t="s">
        <v>38</v>
      </c>
      <c r="C10" s="26">
        <v>1000</v>
      </c>
      <c r="D10" s="26">
        <v>28</v>
      </c>
      <c r="E10" s="25">
        <f t="shared" si="0"/>
        <v>33880</v>
      </c>
      <c r="F10" s="25"/>
      <c r="G10" s="25"/>
      <c r="H10" s="25"/>
    </row>
    <row r="11" spans="1:11" x14ac:dyDescent="0.35">
      <c r="A11" s="11"/>
      <c r="B11" s="12" t="s">
        <v>37</v>
      </c>
      <c r="C11" s="26">
        <v>4500</v>
      </c>
      <c r="D11" s="26">
        <v>1</v>
      </c>
      <c r="E11" s="25">
        <f t="shared" si="0"/>
        <v>5445</v>
      </c>
      <c r="F11" s="25"/>
      <c r="G11" s="25"/>
      <c r="H11" s="25"/>
    </row>
    <row r="12" spans="1:11" x14ac:dyDescent="0.35">
      <c r="A12" s="11"/>
      <c r="B12" s="12" t="s">
        <v>36</v>
      </c>
      <c r="C12" s="26">
        <v>1500</v>
      </c>
      <c r="D12" s="26">
        <v>4</v>
      </c>
      <c r="E12" s="25">
        <f t="shared" si="0"/>
        <v>7260</v>
      </c>
      <c r="F12" s="25"/>
      <c r="G12" s="25"/>
      <c r="H12" s="25"/>
    </row>
    <row r="13" spans="1:11" x14ac:dyDescent="0.35">
      <c r="A13" s="13"/>
      <c r="B13" s="13" t="s">
        <v>27</v>
      </c>
      <c r="C13" s="23"/>
      <c r="D13" s="23"/>
      <c r="E13" s="24">
        <f>SUM(E14:E16)</f>
        <v>43560</v>
      </c>
      <c r="F13" s="24"/>
      <c r="G13" s="24"/>
      <c r="H13" s="24">
        <f>SUM(H14:H16)</f>
        <v>0</v>
      </c>
    </row>
    <row r="14" spans="1:11" x14ac:dyDescent="0.35">
      <c r="A14" s="11"/>
      <c r="B14" s="7" t="s">
        <v>35</v>
      </c>
      <c r="C14" s="25">
        <v>12000</v>
      </c>
      <c r="D14" s="26">
        <v>1</v>
      </c>
      <c r="E14" s="25">
        <f>C14*D14*1.21</f>
        <v>14520</v>
      </c>
      <c r="F14" s="25"/>
      <c r="G14" s="25"/>
      <c r="H14" s="25"/>
    </row>
    <row r="15" spans="1:11" x14ac:dyDescent="0.35">
      <c r="A15" s="11"/>
      <c r="B15" s="7" t="s">
        <v>34</v>
      </c>
      <c r="C15" s="25">
        <v>12000</v>
      </c>
      <c r="D15" s="26">
        <v>1</v>
      </c>
      <c r="E15" s="25">
        <f>C15*D15*1.21</f>
        <v>14520</v>
      </c>
      <c r="F15" s="25"/>
      <c r="G15" s="25"/>
      <c r="H15" s="25"/>
    </row>
    <row r="16" spans="1:11" x14ac:dyDescent="0.35">
      <c r="A16" s="11"/>
      <c r="B16" s="7" t="s">
        <v>33</v>
      </c>
      <c r="C16" s="25">
        <v>12000</v>
      </c>
      <c r="D16" s="26">
        <v>1</v>
      </c>
      <c r="E16" s="25">
        <f>C16*D16*1.21</f>
        <v>14520</v>
      </c>
      <c r="F16" s="25"/>
      <c r="G16" s="25"/>
      <c r="H16" s="25"/>
    </row>
    <row r="17" spans="1:11" x14ac:dyDescent="0.35">
      <c r="A17" s="10"/>
      <c r="B17" s="9" t="s">
        <v>21</v>
      </c>
      <c r="C17" s="27"/>
      <c r="D17" s="27"/>
      <c r="E17" s="28">
        <f>SUM(E18:E21)</f>
        <v>69901.7</v>
      </c>
      <c r="F17" s="28"/>
      <c r="G17" s="28"/>
      <c r="H17" s="28">
        <f>SUM(H18:H21)</f>
        <v>0</v>
      </c>
    </row>
    <row r="18" spans="1:11" x14ac:dyDescent="0.35">
      <c r="A18" s="11"/>
      <c r="B18" s="7" t="s">
        <v>20</v>
      </c>
      <c r="C18" s="25">
        <v>1250</v>
      </c>
      <c r="D18" s="25">
        <v>6</v>
      </c>
      <c r="E18" s="25">
        <f>C18*D18*1.21</f>
        <v>9075</v>
      </c>
      <c r="F18" s="25"/>
      <c r="G18" s="25"/>
      <c r="H18" s="25"/>
    </row>
    <row r="19" spans="1:11" x14ac:dyDescent="0.35">
      <c r="A19" s="11"/>
      <c r="B19" s="7" t="s">
        <v>19</v>
      </c>
      <c r="C19" s="25">
        <v>1250</v>
      </c>
      <c r="D19" s="25">
        <v>39</v>
      </c>
      <c r="E19" s="25">
        <f>C19*D19*1.21</f>
        <v>58987.5</v>
      </c>
      <c r="F19" s="25"/>
      <c r="G19" s="25"/>
      <c r="H19" s="25"/>
    </row>
    <row r="20" spans="1:11" x14ac:dyDescent="0.35">
      <c r="A20" s="11"/>
      <c r="B20" s="7" t="s">
        <v>32</v>
      </c>
      <c r="C20" s="25">
        <v>1250</v>
      </c>
      <c r="D20" s="25">
        <v>1</v>
      </c>
      <c r="E20" s="25">
        <f>C20*D20*1.21</f>
        <v>1512.5</v>
      </c>
      <c r="F20" s="25"/>
      <c r="G20" s="25"/>
      <c r="H20" s="25"/>
    </row>
    <row r="21" spans="1:11" x14ac:dyDescent="0.35">
      <c r="A21" s="11"/>
      <c r="B21" s="7" t="s">
        <v>31</v>
      </c>
      <c r="C21" s="25">
        <v>270</v>
      </c>
      <c r="D21" s="25">
        <v>1</v>
      </c>
      <c r="E21" s="25">
        <f>C21*D21*1.21</f>
        <v>326.7</v>
      </c>
      <c r="F21" s="25"/>
      <c r="G21" s="25"/>
      <c r="H21" s="25"/>
    </row>
    <row r="22" spans="1:11" x14ac:dyDescent="0.35">
      <c r="A22" s="10"/>
      <c r="B22" s="9" t="s">
        <v>18</v>
      </c>
      <c r="C22" s="27"/>
      <c r="D22" s="27"/>
      <c r="E22" s="28">
        <f>SUM(E23:E24)</f>
        <v>580.79999999999995</v>
      </c>
      <c r="F22" s="28"/>
      <c r="G22" s="28"/>
      <c r="H22" s="28">
        <f>SUM(H23:H24)</f>
        <v>8241.5520000000015</v>
      </c>
    </row>
    <row r="23" spans="1:11" x14ac:dyDescent="0.35">
      <c r="A23" s="8"/>
      <c r="B23" s="7" t="s">
        <v>16</v>
      </c>
      <c r="C23" s="25"/>
      <c r="D23" s="25"/>
      <c r="E23" s="26"/>
      <c r="F23" s="26">
        <f>4.3*(41+91)</f>
        <v>567.6</v>
      </c>
      <c r="G23" s="26">
        <v>12</v>
      </c>
      <c r="H23" s="26">
        <f>G23*F23*1.21</f>
        <v>8241.5520000000015</v>
      </c>
    </row>
    <row r="24" spans="1:11" x14ac:dyDescent="0.35">
      <c r="A24" s="11"/>
      <c r="B24" s="12" t="s">
        <v>17</v>
      </c>
      <c r="C24" s="26">
        <v>80</v>
      </c>
      <c r="D24" s="26">
        <v>6</v>
      </c>
      <c r="E24" s="26">
        <f>C24*D24*1.21</f>
        <v>580.79999999999995</v>
      </c>
      <c r="F24" s="26"/>
      <c r="G24" s="26"/>
      <c r="H24" s="26"/>
    </row>
    <row r="25" spans="1:11" x14ac:dyDescent="0.35">
      <c r="A25" s="16" t="s">
        <v>30</v>
      </c>
      <c r="B25" s="15"/>
      <c r="C25" s="29"/>
      <c r="D25" s="29"/>
      <c r="E25" s="29">
        <f>SUM(E26,E28,E34,E37)</f>
        <v>104241.5</v>
      </c>
      <c r="F25" s="29"/>
      <c r="G25" s="29"/>
      <c r="H25" s="29">
        <f>SUM(H26,H28,H34,H37)</f>
        <v>4994.88</v>
      </c>
      <c r="I25" s="14"/>
      <c r="J25" s="14"/>
      <c r="K25" s="14"/>
    </row>
    <row r="26" spans="1:11" x14ac:dyDescent="0.35">
      <c r="A26" s="13"/>
      <c r="B26" s="13" t="s">
        <v>29</v>
      </c>
      <c r="C26" s="23"/>
      <c r="D26" s="23"/>
      <c r="E26" s="24">
        <f>SUM(E27:E27)</f>
        <v>42350</v>
      </c>
      <c r="F26" s="24"/>
      <c r="G26" s="24"/>
      <c r="H26" s="24">
        <f>SUM(H27:H27)</f>
        <v>0</v>
      </c>
      <c r="I26" s="14"/>
      <c r="J26" s="14"/>
      <c r="K26" s="14"/>
    </row>
    <row r="27" spans="1:11" x14ac:dyDescent="0.35">
      <c r="A27" s="11"/>
      <c r="B27" s="7" t="s">
        <v>28</v>
      </c>
      <c r="C27" s="25">
        <v>3500</v>
      </c>
      <c r="D27" s="25">
        <v>10</v>
      </c>
      <c r="E27" s="25">
        <f>C27*D27*1.21</f>
        <v>42350</v>
      </c>
      <c r="F27" s="25"/>
      <c r="G27" s="26"/>
      <c r="H27" s="26"/>
    </row>
    <row r="28" spans="1:11" x14ac:dyDescent="0.35">
      <c r="A28" s="13"/>
      <c r="B28" s="13" t="s">
        <v>27</v>
      </c>
      <c r="C28" s="23"/>
      <c r="D28" s="23"/>
      <c r="E28" s="24">
        <f>SUM(E29:E33)</f>
        <v>38720</v>
      </c>
      <c r="F28" s="24"/>
      <c r="G28" s="24"/>
      <c r="H28" s="24">
        <f>SUM(H29:H33)</f>
        <v>0</v>
      </c>
    </row>
    <row r="29" spans="1:11" x14ac:dyDescent="0.35">
      <c r="A29" s="11"/>
      <c r="B29" s="12" t="s">
        <v>26</v>
      </c>
      <c r="C29" s="26">
        <v>8000</v>
      </c>
      <c r="D29" s="26">
        <v>1</v>
      </c>
      <c r="E29" s="26">
        <f>C29*D29*1.21</f>
        <v>9680</v>
      </c>
      <c r="F29" s="26"/>
      <c r="G29" s="26"/>
      <c r="H29" s="26"/>
    </row>
    <row r="30" spans="1:11" x14ac:dyDescent="0.35">
      <c r="A30" s="11"/>
      <c r="B30" s="12" t="s">
        <v>25</v>
      </c>
      <c r="C30" s="26">
        <v>8000</v>
      </c>
      <c r="D30" s="26">
        <v>1</v>
      </c>
      <c r="E30" s="26">
        <f>C30*D30*1.21</f>
        <v>9680</v>
      </c>
      <c r="F30" s="26"/>
      <c r="G30" s="26"/>
      <c r="H30" s="26"/>
    </row>
    <row r="31" spans="1:11" x14ac:dyDescent="0.35">
      <c r="A31" s="11"/>
      <c r="B31" s="12" t="s">
        <v>24</v>
      </c>
      <c r="C31" s="26">
        <v>8000</v>
      </c>
      <c r="D31" s="26">
        <v>1</v>
      </c>
      <c r="E31" s="26">
        <f>C31*D31*1.21</f>
        <v>9680</v>
      </c>
      <c r="F31" s="26"/>
      <c r="G31" s="26"/>
      <c r="H31" s="26"/>
    </row>
    <row r="32" spans="1:11" x14ac:dyDescent="0.35">
      <c r="A32" s="11"/>
      <c r="B32" s="12" t="s">
        <v>23</v>
      </c>
      <c r="C32" s="26"/>
      <c r="D32" s="26">
        <v>0</v>
      </c>
      <c r="E32" s="26">
        <f>C32*D32*1.21</f>
        <v>0</v>
      </c>
      <c r="F32" s="26"/>
      <c r="G32" s="26"/>
      <c r="H32" s="26"/>
    </row>
    <row r="33" spans="1:8" x14ac:dyDescent="0.35">
      <c r="A33" s="11"/>
      <c r="B33" s="12" t="s">
        <v>22</v>
      </c>
      <c r="C33" s="26">
        <v>8000</v>
      </c>
      <c r="D33" s="26">
        <v>1</v>
      </c>
      <c r="E33" s="26">
        <f>C33*D33*1.21</f>
        <v>9680</v>
      </c>
      <c r="F33" s="26"/>
      <c r="G33" s="26"/>
      <c r="H33" s="26"/>
    </row>
    <row r="34" spans="1:8" x14ac:dyDescent="0.35">
      <c r="A34" s="10"/>
      <c r="B34" s="9" t="s">
        <v>21</v>
      </c>
      <c r="C34" s="27"/>
      <c r="D34" s="27"/>
      <c r="E34" s="28">
        <f>SUM(E35:E36)</f>
        <v>22687.5</v>
      </c>
      <c r="F34" s="28"/>
      <c r="G34" s="28"/>
      <c r="H34" s="28">
        <f>SUM(H35:H36)</f>
        <v>0</v>
      </c>
    </row>
    <row r="35" spans="1:8" x14ac:dyDescent="0.35">
      <c r="A35" s="11"/>
      <c r="B35" s="7" t="s">
        <v>20</v>
      </c>
      <c r="C35" s="25">
        <v>1250</v>
      </c>
      <c r="D35" s="25">
        <v>5</v>
      </c>
      <c r="E35" s="25">
        <f>C35*D35*1.21</f>
        <v>7562.5</v>
      </c>
      <c r="F35" s="26"/>
      <c r="G35" s="26"/>
      <c r="H35" s="26"/>
    </row>
    <row r="36" spans="1:8" x14ac:dyDescent="0.35">
      <c r="A36" s="11"/>
      <c r="B36" s="7" t="s">
        <v>19</v>
      </c>
      <c r="C36" s="25">
        <v>1250</v>
      </c>
      <c r="D36" s="25">
        <v>10</v>
      </c>
      <c r="E36" s="25">
        <f>C36*D36*1.21</f>
        <v>15125</v>
      </c>
      <c r="F36" s="26"/>
      <c r="G36" s="26"/>
      <c r="H36" s="26"/>
    </row>
    <row r="37" spans="1:8" x14ac:dyDescent="0.35">
      <c r="A37" s="10"/>
      <c r="B37" s="9" t="s">
        <v>18</v>
      </c>
      <c r="C37" s="27"/>
      <c r="D37" s="27"/>
      <c r="E37" s="27">
        <f>SUM(E38:E38)</f>
        <v>484</v>
      </c>
      <c r="F37" s="27"/>
      <c r="G37" s="27"/>
      <c r="H37" s="27">
        <f>SUM(H38:H39)</f>
        <v>4994.88</v>
      </c>
    </row>
    <row r="38" spans="1:8" x14ac:dyDescent="0.35">
      <c r="A38" s="8"/>
      <c r="B38" s="7" t="s">
        <v>17</v>
      </c>
      <c r="C38" s="25">
        <v>80</v>
      </c>
      <c r="D38" s="25">
        <v>5</v>
      </c>
      <c r="E38" s="25">
        <f>C38*D38*1.21</f>
        <v>484</v>
      </c>
      <c r="F38" s="25"/>
      <c r="G38" s="25"/>
      <c r="H38" s="25"/>
    </row>
    <row r="39" spans="1:8" x14ac:dyDescent="0.35">
      <c r="A39" s="8"/>
      <c r="B39" s="7" t="s">
        <v>16</v>
      </c>
      <c r="C39" s="25"/>
      <c r="D39" s="25"/>
      <c r="E39" s="26"/>
      <c r="F39" s="25">
        <f>4.3*(80)</f>
        <v>344</v>
      </c>
      <c r="G39" s="25">
        <v>12</v>
      </c>
      <c r="H39" s="26">
        <f>G39*F39*1.21</f>
        <v>4994.88</v>
      </c>
    </row>
  </sheetData>
  <mergeCells count="5">
    <mergeCell ref="A2:A3"/>
    <mergeCell ref="B2:B3"/>
    <mergeCell ref="C2:E2"/>
    <mergeCell ref="F2:H2"/>
    <mergeCell ref="H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4A70F-7289-4A13-A0F9-CE0DBC9D0FC8}">
  <sheetPr>
    <tabColor theme="9" tint="0.59999389629810485"/>
  </sheetPr>
  <dimension ref="A1:I36"/>
  <sheetViews>
    <sheetView zoomScaleNormal="100" workbookViewId="0">
      <selection activeCell="I2" sqref="I2"/>
    </sheetView>
  </sheetViews>
  <sheetFormatPr defaultColWidth="9.1796875" defaultRowHeight="13" x14ac:dyDescent="0.3"/>
  <cols>
    <col min="1" max="1" width="36.54296875" style="43" customWidth="1"/>
    <col min="2" max="2" width="38.1796875" style="43" customWidth="1"/>
    <col min="3" max="3" width="15.26953125" style="44" customWidth="1"/>
    <col min="4" max="4" width="11.7265625" style="44" customWidth="1"/>
    <col min="5" max="5" width="21.1796875" style="44" customWidth="1"/>
    <col min="6" max="7" width="9.1796875" style="43"/>
    <col min="8" max="8" width="10" style="43" bestFit="1" customWidth="1"/>
    <col min="9" max="9" width="17.26953125" style="43" customWidth="1"/>
    <col min="10" max="16384" width="9.1796875" style="43"/>
  </cols>
  <sheetData>
    <row r="1" spans="1:6" ht="123" customHeight="1" x14ac:dyDescent="0.3">
      <c r="E1" s="206" t="s">
        <v>352</v>
      </c>
      <c r="F1" s="206"/>
    </row>
    <row r="2" spans="1:6" ht="17.5" x14ac:dyDescent="0.35">
      <c r="A2" s="208" t="s">
        <v>116</v>
      </c>
      <c r="B2" s="208"/>
      <c r="C2" s="208"/>
      <c r="D2" s="208"/>
      <c r="E2" s="208"/>
    </row>
    <row r="3" spans="1:6" ht="13.5" thickBot="1" x14ac:dyDescent="0.35"/>
    <row r="4" spans="1:6" ht="28.5" customHeight="1" x14ac:dyDescent="0.3">
      <c r="A4" s="209" t="s">
        <v>82</v>
      </c>
      <c r="B4" s="211" t="s">
        <v>83</v>
      </c>
      <c r="C4" s="213" t="s">
        <v>84</v>
      </c>
      <c r="D4" s="214"/>
      <c r="E4" s="215"/>
    </row>
    <row r="5" spans="1:6" x14ac:dyDescent="0.3">
      <c r="A5" s="210"/>
      <c r="B5" s="212"/>
      <c r="C5" s="45" t="s">
        <v>85</v>
      </c>
      <c r="D5" s="46" t="s">
        <v>86</v>
      </c>
      <c r="E5" s="47" t="s">
        <v>87</v>
      </c>
    </row>
    <row r="6" spans="1:6" ht="20.149999999999999" customHeight="1" x14ac:dyDescent="0.3">
      <c r="A6" s="48" t="s">
        <v>88</v>
      </c>
      <c r="B6" s="49"/>
      <c r="C6" s="89">
        <v>82</v>
      </c>
      <c r="D6" s="50">
        <v>2000</v>
      </c>
      <c r="E6" s="51">
        <f t="shared" ref="E6:E31" si="0">C6*D6</f>
        <v>164000</v>
      </c>
    </row>
    <row r="7" spans="1:6" ht="20.149999999999999" customHeight="1" x14ac:dyDescent="0.3">
      <c r="A7" s="48" t="s">
        <v>89</v>
      </c>
      <c r="B7" s="49"/>
      <c r="C7" s="50">
        <v>18</v>
      </c>
      <c r="D7" s="50">
        <v>4000</v>
      </c>
      <c r="E7" s="51">
        <f t="shared" si="0"/>
        <v>72000</v>
      </c>
    </row>
    <row r="8" spans="1:6" ht="20.149999999999999" customHeight="1" x14ac:dyDescent="0.3">
      <c r="A8" s="48" t="s">
        <v>90</v>
      </c>
      <c r="B8" s="49"/>
      <c r="C8" s="50">
        <v>200</v>
      </c>
      <c r="D8" s="50">
        <v>400</v>
      </c>
      <c r="E8" s="51">
        <f t="shared" si="0"/>
        <v>80000</v>
      </c>
    </row>
    <row r="9" spans="1:6" ht="20.149999999999999" customHeight="1" x14ac:dyDescent="0.3">
      <c r="A9" s="48" t="s">
        <v>91</v>
      </c>
      <c r="B9" s="49"/>
      <c r="C9" s="50">
        <v>70</v>
      </c>
      <c r="D9" s="50">
        <v>1000</v>
      </c>
      <c r="E9" s="51">
        <f t="shared" si="0"/>
        <v>70000</v>
      </c>
    </row>
    <row r="10" spans="1:6" ht="20.149999999999999" customHeight="1" x14ac:dyDescent="0.3">
      <c r="A10" s="48" t="s">
        <v>92</v>
      </c>
      <c r="B10" s="49"/>
      <c r="C10" s="50">
        <v>20</v>
      </c>
      <c r="D10" s="50">
        <v>1300</v>
      </c>
      <c r="E10" s="51">
        <f t="shared" si="0"/>
        <v>26000</v>
      </c>
    </row>
    <row r="11" spans="1:6" s="52" customFormat="1" ht="20.149999999999999" customHeight="1" x14ac:dyDescent="0.3">
      <c r="A11" s="48" t="s">
        <v>93</v>
      </c>
      <c r="B11" s="49"/>
      <c r="C11" s="50">
        <v>18</v>
      </c>
      <c r="D11" s="50">
        <v>6000</v>
      </c>
      <c r="E11" s="51">
        <f t="shared" si="0"/>
        <v>108000</v>
      </c>
    </row>
    <row r="12" spans="1:6" s="52" customFormat="1" ht="20.149999999999999" customHeight="1" x14ac:dyDescent="0.3">
      <c r="A12" s="48" t="s">
        <v>94</v>
      </c>
      <c r="B12" s="49"/>
      <c r="C12" s="50">
        <v>60</v>
      </c>
      <c r="D12" s="50">
        <v>300</v>
      </c>
      <c r="E12" s="51">
        <f t="shared" si="0"/>
        <v>18000</v>
      </c>
    </row>
    <row r="13" spans="1:6" s="52" customFormat="1" ht="20.149999999999999" customHeight="1" x14ac:dyDescent="0.3">
      <c r="A13" s="48" t="s">
        <v>95</v>
      </c>
      <c r="B13" s="49"/>
      <c r="C13" s="50">
        <v>150</v>
      </c>
      <c r="D13" s="50">
        <v>100</v>
      </c>
      <c r="E13" s="51">
        <f t="shared" si="0"/>
        <v>15000</v>
      </c>
    </row>
    <row r="14" spans="1:6" s="52" customFormat="1" ht="20.149999999999999" customHeight="1" x14ac:dyDescent="0.3">
      <c r="A14" s="48" t="s">
        <v>96</v>
      </c>
      <c r="B14" s="49"/>
      <c r="C14" s="50">
        <v>50</v>
      </c>
      <c r="D14" s="50">
        <v>100</v>
      </c>
      <c r="E14" s="51">
        <f t="shared" si="0"/>
        <v>5000</v>
      </c>
    </row>
    <row r="15" spans="1:6" s="52" customFormat="1" ht="20.149999999999999" customHeight="1" x14ac:dyDescent="0.3">
      <c r="A15" s="53" t="s">
        <v>97</v>
      </c>
      <c r="B15" s="49"/>
      <c r="C15" s="50">
        <v>200</v>
      </c>
      <c r="D15" s="50">
        <v>180</v>
      </c>
      <c r="E15" s="51">
        <f t="shared" si="0"/>
        <v>36000</v>
      </c>
    </row>
    <row r="16" spans="1:6" s="52" customFormat="1" ht="20.149999999999999" customHeight="1" x14ac:dyDescent="0.3">
      <c r="A16" s="53" t="s">
        <v>98</v>
      </c>
      <c r="B16" s="49"/>
      <c r="C16" s="50">
        <v>250</v>
      </c>
      <c r="D16" s="50">
        <v>200</v>
      </c>
      <c r="E16" s="51">
        <f t="shared" si="0"/>
        <v>50000</v>
      </c>
    </row>
    <row r="17" spans="1:9" s="52" customFormat="1" ht="20.149999999999999" customHeight="1" x14ac:dyDescent="0.3">
      <c r="A17" s="53" t="s">
        <v>99</v>
      </c>
      <c r="B17" s="49"/>
      <c r="C17" s="50">
        <v>100</v>
      </c>
      <c r="D17" s="50">
        <v>200</v>
      </c>
      <c r="E17" s="51">
        <f t="shared" si="0"/>
        <v>20000</v>
      </c>
    </row>
    <row r="18" spans="1:9" s="52" customFormat="1" ht="20.149999999999999" customHeight="1" x14ac:dyDescent="0.3">
      <c r="A18" s="53" t="s">
        <v>100</v>
      </c>
      <c r="B18" s="49"/>
      <c r="C18" s="50">
        <v>2</v>
      </c>
      <c r="D18" s="50">
        <v>45000</v>
      </c>
      <c r="E18" s="51">
        <f t="shared" si="0"/>
        <v>90000</v>
      </c>
    </row>
    <row r="19" spans="1:9" s="52" customFormat="1" ht="20.149999999999999" customHeight="1" x14ac:dyDescent="0.3">
      <c r="A19" s="53" t="s">
        <v>117</v>
      </c>
      <c r="B19" s="49"/>
      <c r="C19" s="50">
        <v>1</v>
      </c>
      <c r="D19" s="50">
        <v>20000</v>
      </c>
      <c r="E19" s="51">
        <f t="shared" si="0"/>
        <v>20000</v>
      </c>
    </row>
    <row r="20" spans="1:9" s="52" customFormat="1" ht="20.149999999999999" customHeight="1" x14ac:dyDescent="0.3">
      <c r="A20" s="53" t="s">
        <v>101</v>
      </c>
      <c r="B20" s="49"/>
      <c r="C20" s="89">
        <v>5</v>
      </c>
      <c r="D20" s="50">
        <v>2500</v>
      </c>
      <c r="E20" s="51">
        <f t="shared" si="0"/>
        <v>12500</v>
      </c>
    </row>
    <row r="21" spans="1:9" s="52" customFormat="1" ht="20.149999999999999" customHeight="1" x14ac:dyDescent="0.3">
      <c r="A21" s="48" t="s">
        <v>102</v>
      </c>
      <c r="B21" s="54"/>
      <c r="C21" s="50">
        <v>6</v>
      </c>
      <c r="D21" s="50">
        <v>11000</v>
      </c>
      <c r="E21" s="51">
        <f t="shared" si="0"/>
        <v>66000</v>
      </c>
    </row>
    <row r="22" spans="1:9" s="52" customFormat="1" ht="39" customHeight="1" x14ac:dyDescent="0.3">
      <c r="A22" s="48" t="s">
        <v>103</v>
      </c>
      <c r="B22" s="54"/>
      <c r="C22" s="50">
        <v>10</v>
      </c>
      <c r="D22" s="50">
        <v>15000</v>
      </c>
      <c r="E22" s="51">
        <f t="shared" si="0"/>
        <v>150000</v>
      </c>
    </row>
    <row r="23" spans="1:9" s="52" customFormat="1" ht="39" customHeight="1" x14ac:dyDescent="0.3">
      <c r="A23" s="48" t="s">
        <v>118</v>
      </c>
      <c r="B23" s="54"/>
      <c r="C23" s="50">
        <v>3</v>
      </c>
      <c r="D23" s="50">
        <v>30000</v>
      </c>
      <c r="E23" s="51">
        <f t="shared" si="0"/>
        <v>90000</v>
      </c>
    </row>
    <row r="24" spans="1:9" s="52" customFormat="1" ht="20.149999999999999" customHeight="1" x14ac:dyDescent="0.3">
      <c r="A24" s="48" t="s">
        <v>105</v>
      </c>
      <c r="B24" s="54"/>
      <c r="C24" s="50">
        <v>20</v>
      </c>
      <c r="D24" s="50">
        <v>2500</v>
      </c>
      <c r="E24" s="51">
        <f t="shared" si="0"/>
        <v>50000</v>
      </c>
    </row>
    <row r="25" spans="1:9" s="52" customFormat="1" ht="20.149999999999999" customHeight="1" x14ac:dyDescent="0.3">
      <c r="A25" s="48" t="s">
        <v>106</v>
      </c>
      <c r="B25" s="54"/>
      <c r="C25" s="50">
        <v>65</v>
      </c>
      <c r="D25" s="50">
        <v>2000</v>
      </c>
      <c r="E25" s="51">
        <f t="shared" si="0"/>
        <v>130000</v>
      </c>
    </row>
    <row r="26" spans="1:9" s="52" customFormat="1" ht="20.149999999999999" customHeight="1" x14ac:dyDescent="0.3">
      <c r="A26" s="48" t="s">
        <v>107</v>
      </c>
      <c r="B26" s="54"/>
      <c r="C26" s="50">
        <v>5</v>
      </c>
      <c r="D26" s="50">
        <v>8000</v>
      </c>
      <c r="E26" s="51">
        <f t="shared" si="0"/>
        <v>40000</v>
      </c>
    </row>
    <row r="27" spans="1:9" s="52" customFormat="1" ht="20.149999999999999" customHeight="1" x14ac:dyDescent="0.3">
      <c r="A27" s="48" t="s">
        <v>108</v>
      </c>
      <c r="B27" s="54"/>
      <c r="C27" s="50">
        <v>12</v>
      </c>
      <c r="D27" s="50">
        <v>5000</v>
      </c>
      <c r="E27" s="51">
        <f t="shared" si="0"/>
        <v>60000</v>
      </c>
    </row>
    <row r="28" spans="1:9" s="52" customFormat="1" ht="20.149999999999999" customHeight="1" x14ac:dyDescent="0.3">
      <c r="A28" s="48" t="s">
        <v>109</v>
      </c>
      <c r="B28" s="54"/>
      <c r="C28" s="50">
        <v>80</v>
      </c>
      <c r="D28" s="50">
        <v>5000</v>
      </c>
      <c r="E28" s="51">
        <f t="shared" si="0"/>
        <v>400000</v>
      </c>
    </row>
    <row r="29" spans="1:9" s="52" customFormat="1" ht="20.149999999999999" customHeight="1" x14ac:dyDescent="0.3">
      <c r="A29" s="48" t="s">
        <v>110</v>
      </c>
      <c r="B29" s="54"/>
      <c r="C29" s="50">
        <v>4</v>
      </c>
      <c r="D29" s="50">
        <v>12000</v>
      </c>
      <c r="E29" s="51">
        <f t="shared" si="0"/>
        <v>48000</v>
      </c>
    </row>
    <row r="30" spans="1:9" s="52" customFormat="1" ht="20.149999999999999" customHeight="1" x14ac:dyDescent="0.3">
      <c r="A30" s="48" t="s">
        <v>111</v>
      </c>
      <c r="B30" s="54"/>
      <c r="C30" s="50">
        <v>12</v>
      </c>
      <c r="D30" s="50">
        <v>2000</v>
      </c>
      <c r="E30" s="51">
        <f t="shared" si="0"/>
        <v>24000</v>
      </c>
    </row>
    <row r="31" spans="1:9" ht="20.149999999999999" customHeight="1" x14ac:dyDescent="0.3">
      <c r="A31" s="43" t="s">
        <v>112</v>
      </c>
      <c r="B31" s="54"/>
      <c r="C31" s="50">
        <v>1</v>
      </c>
      <c r="D31" s="50">
        <v>120000</v>
      </c>
      <c r="E31" s="51">
        <f t="shared" si="0"/>
        <v>120000</v>
      </c>
    </row>
    <row r="32" spans="1:9" ht="20.149999999999999" customHeight="1" thickBot="1" x14ac:dyDescent="0.35">
      <c r="A32" s="55" t="s">
        <v>75</v>
      </c>
      <c r="B32" s="56"/>
      <c r="C32" s="57"/>
      <c r="D32" s="57"/>
      <c r="E32" s="58">
        <f>SUM(E6:E31)</f>
        <v>1964500</v>
      </c>
      <c r="H32" s="69"/>
      <c r="I32" s="69"/>
    </row>
    <row r="33" spans="1:5" s="52" customFormat="1" ht="20.149999999999999" customHeight="1" x14ac:dyDescent="0.3">
      <c r="A33" s="59"/>
      <c r="B33" s="60"/>
      <c r="C33" s="61"/>
      <c r="D33" s="61"/>
      <c r="E33" s="62"/>
    </row>
    <row r="34" spans="1:5" s="52" customFormat="1" ht="20.149999999999999" customHeight="1" x14ac:dyDescent="0.3">
      <c r="A34" s="216" t="s">
        <v>148</v>
      </c>
      <c r="B34" s="216"/>
      <c r="C34" s="216"/>
      <c r="D34" s="216"/>
      <c r="E34" s="216"/>
    </row>
    <row r="35" spans="1:5" s="52" customFormat="1" ht="18.75" customHeight="1" x14ac:dyDescent="0.3">
      <c r="A35" s="59"/>
      <c r="B35" s="60"/>
      <c r="C35" s="61"/>
      <c r="D35" s="61"/>
      <c r="E35" s="62"/>
    </row>
    <row r="36" spans="1:5" s="52" customFormat="1" ht="137.25" customHeight="1" x14ac:dyDescent="0.3">
      <c r="A36" s="207" t="s">
        <v>113</v>
      </c>
      <c r="B36" s="207"/>
      <c r="C36" s="207"/>
      <c r="D36" s="207"/>
      <c r="E36" s="207"/>
    </row>
  </sheetData>
  <mergeCells count="7">
    <mergeCell ref="E1:F1"/>
    <mergeCell ref="A36:E36"/>
    <mergeCell ref="A2:E2"/>
    <mergeCell ref="A4:A5"/>
    <mergeCell ref="B4:B5"/>
    <mergeCell ref="C4:E4"/>
    <mergeCell ref="A34:E34"/>
  </mergeCells>
  <printOptions horizontalCentered="1"/>
  <pageMargins left="0.19685039370078741" right="0" top="0" bottom="0.19685039370078741"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12A1-7340-4E2D-9A60-5D41F97E3964}">
  <sheetPr>
    <tabColor theme="9" tint="0.59999389629810485"/>
  </sheetPr>
  <dimension ref="A1:F36"/>
  <sheetViews>
    <sheetView zoomScaleNormal="100" workbookViewId="0">
      <selection activeCell="E1" sqref="E1"/>
    </sheetView>
  </sheetViews>
  <sheetFormatPr defaultColWidth="9.1796875" defaultRowHeight="13" x14ac:dyDescent="0.3"/>
  <cols>
    <col min="1" max="1" width="45.1796875" style="43" customWidth="1"/>
    <col min="2" max="2" width="38.1796875" style="43" customWidth="1"/>
    <col min="3" max="3" width="15.26953125" style="44" customWidth="1"/>
    <col min="4" max="4" width="11.7265625" style="44" customWidth="1"/>
    <col min="5" max="5" width="21.1796875" style="44" customWidth="1"/>
    <col min="6" max="9" width="9.1796875" style="43"/>
    <col min="10" max="10" width="17.26953125" style="43" customWidth="1"/>
    <col min="11" max="16384" width="9.1796875" style="43"/>
  </cols>
  <sheetData>
    <row r="1" spans="1:5" ht="174" x14ac:dyDescent="0.3">
      <c r="E1" s="202" t="s">
        <v>353</v>
      </c>
    </row>
    <row r="2" spans="1:5" ht="28.5" customHeight="1" x14ac:dyDescent="0.35">
      <c r="A2" s="208" t="s">
        <v>150</v>
      </c>
      <c r="B2" s="208"/>
      <c r="C2" s="208"/>
      <c r="D2" s="208"/>
      <c r="E2" s="208"/>
    </row>
    <row r="3" spans="1:5" ht="13.5" thickBot="1" x14ac:dyDescent="0.35">
      <c r="A3" s="43" t="s">
        <v>119</v>
      </c>
      <c r="B3" s="43" t="s">
        <v>149</v>
      </c>
      <c r="C3" s="44" t="s">
        <v>81</v>
      </c>
    </row>
    <row r="4" spans="1:5" ht="20.149999999999999" customHeight="1" x14ac:dyDescent="0.3">
      <c r="A4" s="209" t="s">
        <v>82</v>
      </c>
      <c r="B4" s="211" t="s">
        <v>83</v>
      </c>
      <c r="C4" s="213" t="s">
        <v>84</v>
      </c>
      <c r="D4" s="214"/>
      <c r="E4" s="215"/>
    </row>
    <row r="5" spans="1:5" ht="20.149999999999999" customHeight="1" x14ac:dyDescent="0.3">
      <c r="A5" s="210"/>
      <c r="B5" s="212"/>
      <c r="C5" s="45" t="s">
        <v>85</v>
      </c>
      <c r="D5" s="46" t="s">
        <v>86</v>
      </c>
      <c r="E5" s="47" t="s">
        <v>87</v>
      </c>
    </row>
    <row r="6" spans="1:5" ht="20.149999999999999" customHeight="1" x14ac:dyDescent="0.3">
      <c r="A6" s="48" t="s">
        <v>88</v>
      </c>
      <c r="B6" s="49"/>
      <c r="C6" s="50">
        <v>0</v>
      </c>
      <c r="D6" s="50">
        <v>2000</v>
      </c>
      <c r="E6" s="51">
        <f t="shared" ref="E6:E31" si="0">C6*D6</f>
        <v>0</v>
      </c>
    </row>
    <row r="7" spans="1:5" ht="20.149999999999999" customHeight="1" x14ac:dyDescent="0.3">
      <c r="A7" s="48" t="s">
        <v>89</v>
      </c>
      <c r="B7" s="49"/>
      <c r="C7" s="50">
        <v>18</v>
      </c>
      <c r="D7" s="50">
        <v>4000</v>
      </c>
      <c r="E7" s="51">
        <f t="shared" si="0"/>
        <v>72000</v>
      </c>
    </row>
    <row r="8" spans="1:5" ht="20.149999999999999" customHeight="1" x14ac:dyDescent="0.3">
      <c r="A8" s="48" t="s">
        <v>90</v>
      </c>
      <c r="B8" s="49"/>
      <c r="C8" s="89">
        <v>94</v>
      </c>
      <c r="D8" s="50">
        <v>400</v>
      </c>
      <c r="E8" s="51">
        <f t="shared" si="0"/>
        <v>37600</v>
      </c>
    </row>
    <row r="9" spans="1:5" s="52" customFormat="1" ht="20.149999999999999" customHeight="1" x14ac:dyDescent="0.3">
      <c r="A9" s="48" t="s">
        <v>91</v>
      </c>
      <c r="B9" s="49"/>
      <c r="C9" s="50">
        <v>30</v>
      </c>
      <c r="D9" s="50">
        <v>1000</v>
      </c>
      <c r="E9" s="51">
        <f t="shared" si="0"/>
        <v>30000</v>
      </c>
    </row>
    <row r="10" spans="1:5" s="52" customFormat="1" ht="20.149999999999999" customHeight="1" x14ac:dyDescent="0.3">
      <c r="A10" s="48" t="s">
        <v>92</v>
      </c>
      <c r="B10" s="49"/>
      <c r="C10" s="50">
        <v>10</v>
      </c>
      <c r="D10" s="50">
        <v>1300</v>
      </c>
      <c r="E10" s="51">
        <f t="shared" si="0"/>
        <v>13000</v>
      </c>
    </row>
    <row r="11" spans="1:5" s="52" customFormat="1" ht="20.149999999999999" customHeight="1" x14ac:dyDescent="0.3">
      <c r="A11" s="48" t="s">
        <v>93</v>
      </c>
      <c r="B11" s="49"/>
      <c r="C11" s="50">
        <v>18</v>
      </c>
      <c r="D11" s="50">
        <v>6000</v>
      </c>
      <c r="E11" s="51">
        <f t="shared" si="0"/>
        <v>108000</v>
      </c>
    </row>
    <row r="12" spans="1:5" s="52" customFormat="1" ht="20.149999999999999" customHeight="1" x14ac:dyDescent="0.3">
      <c r="A12" s="48" t="s">
        <v>94</v>
      </c>
      <c r="B12" s="49"/>
      <c r="C12" s="50">
        <v>60</v>
      </c>
      <c r="D12" s="50">
        <v>300</v>
      </c>
      <c r="E12" s="51">
        <f t="shared" si="0"/>
        <v>18000</v>
      </c>
    </row>
    <row r="13" spans="1:5" s="52" customFormat="1" ht="20.149999999999999" customHeight="1" x14ac:dyDescent="0.3">
      <c r="A13" s="48" t="s">
        <v>95</v>
      </c>
      <c r="B13" s="49"/>
      <c r="C13" s="50">
        <v>120</v>
      </c>
      <c r="D13" s="50">
        <v>100</v>
      </c>
      <c r="E13" s="51">
        <f t="shared" si="0"/>
        <v>12000</v>
      </c>
    </row>
    <row r="14" spans="1:5" s="52" customFormat="1" ht="20.149999999999999" customHeight="1" x14ac:dyDescent="0.3">
      <c r="A14" s="48" t="s">
        <v>96</v>
      </c>
      <c r="B14" s="49"/>
      <c r="C14" s="50">
        <v>50</v>
      </c>
      <c r="D14" s="50">
        <v>100</v>
      </c>
      <c r="E14" s="51">
        <f t="shared" si="0"/>
        <v>5000</v>
      </c>
    </row>
    <row r="15" spans="1:5" s="52" customFormat="1" ht="20.149999999999999" customHeight="1" x14ac:dyDescent="0.3">
      <c r="A15" s="53" t="s">
        <v>97</v>
      </c>
      <c r="B15" s="49"/>
      <c r="C15" s="50">
        <v>170</v>
      </c>
      <c r="D15" s="50">
        <v>180</v>
      </c>
      <c r="E15" s="51">
        <f t="shared" si="0"/>
        <v>30600</v>
      </c>
    </row>
    <row r="16" spans="1:5" s="52" customFormat="1" ht="20.149999999999999" customHeight="1" x14ac:dyDescent="0.3">
      <c r="A16" s="53" t="s">
        <v>98</v>
      </c>
      <c r="B16" s="49"/>
      <c r="C16" s="50">
        <v>170</v>
      </c>
      <c r="D16" s="50">
        <v>200</v>
      </c>
      <c r="E16" s="51">
        <f t="shared" si="0"/>
        <v>34000</v>
      </c>
    </row>
    <row r="17" spans="1:6" s="52" customFormat="1" ht="20.149999999999999" customHeight="1" x14ac:dyDescent="0.3">
      <c r="A17" s="53" t="s">
        <v>99</v>
      </c>
      <c r="B17" s="49"/>
      <c r="C17" s="50">
        <v>170</v>
      </c>
      <c r="D17" s="50">
        <v>200</v>
      </c>
      <c r="E17" s="51">
        <f t="shared" si="0"/>
        <v>34000</v>
      </c>
    </row>
    <row r="18" spans="1:6" s="52" customFormat="1" ht="20.149999999999999" customHeight="1" x14ac:dyDescent="0.3">
      <c r="A18" s="53" t="s">
        <v>100</v>
      </c>
      <c r="B18" s="49"/>
      <c r="C18" s="50">
        <v>3</v>
      </c>
      <c r="D18" s="50">
        <v>45000</v>
      </c>
      <c r="E18" s="51">
        <f t="shared" si="0"/>
        <v>135000</v>
      </c>
    </row>
    <row r="19" spans="1:6" s="52" customFormat="1" ht="20.149999999999999" customHeight="1" x14ac:dyDescent="0.3">
      <c r="A19" s="53" t="s">
        <v>117</v>
      </c>
      <c r="B19" s="49"/>
      <c r="C19" s="50">
        <v>2</v>
      </c>
      <c r="D19" s="50">
        <v>20000</v>
      </c>
      <c r="E19" s="51">
        <f t="shared" si="0"/>
        <v>40000</v>
      </c>
    </row>
    <row r="20" spans="1:6" s="52" customFormat="1" ht="20.149999999999999" customHeight="1" x14ac:dyDescent="0.3">
      <c r="A20" s="53" t="s">
        <v>101</v>
      </c>
      <c r="B20" s="49"/>
      <c r="C20" s="50">
        <v>3</v>
      </c>
      <c r="D20" s="50">
        <v>2500</v>
      </c>
      <c r="E20" s="51">
        <f t="shared" si="0"/>
        <v>7500</v>
      </c>
    </row>
    <row r="21" spans="1:6" s="52" customFormat="1" ht="20.149999999999999" customHeight="1" x14ac:dyDescent="0.3">
      <c r="A21" s="48" t="s">
        <v>102</v>
      </c>
      <c r="B21" s="54"/>
      <c r="C21" s="50">
        <v>3</v>
      </c>
      <c r="D21" s="50">
        <v>11000</v>
      </c>
      <c r="E21" s="51">
        <f t="shared" si="0"/>
        <v>33000</v>
      </c>
    </row>
    <row r="22" spans="1:6" s="52" customFormat="1" ht="20.149999999999999" customHeight="1" x14ac:dyDescent="0.3">
      <c r="A22" s="48" t="s">
        <v>103</v>
      </c>
      <c r="B22" s="54"/>
      <c r="C22" s="50">
        <v>15</v>
      </c>
      <c r="D22" s="50">
        <v>15000</v>
      </c>
      <c r="E22" s="51">
        <f t="shared" si="0"/>
        <v>225000</v>
      </c>
    </row>
    <row r="23" spans="1:6" s="52" customFormat="1" ht="20.149999999999999" customHeight="1" x14ac:dyDescent="0.3">
      <c r="A23" s="48" t="s">
        <v>104</v>
      </c>
      <c r="B23" s="54"/>
      <c r="C23" s="50">
        <v>3</v>
      </c>
      <c r="D23" s="50">
        <v>30000</v>
      </c>
      <c r="E23" s="51">
        <f t="shared" si="0"/>
        <v>90000</v>
      </c>
    </row>
    <row r="24" spans="1:6" s="52" customFormat="1" ht="20.149999999999999" customHeight="1" x14ac:dyDescent="0.3">
      <c r="A24" s="48" t="s">
        <v>105</v>
      </c>
      <c r="B24" s="54"/>
      <c r="C24" s="50">
        <v>30</v>
      </c>
      <c r="D24" s="50">
        <v>2500</v>
      </c>
      <c r="E24" s="51">
        <f t="shared" si="0"/>
        <v>75000</v>
      </c>
    </row>
    <row r="25" spans="1:6" s="52" customFormat="1" ht="20.149999999999999" customHeight="1" x14ac:dyDescent="0.3">
      <c r="A25" s="48" t="s">
        <v>106</v>
      </c>
      <c r="B25" s="54"/>
      <c r="C25" s="50">
        <v>30</v>
      </c>
      <c r="D25" s="50">
        <v>2000</v>
      </c>
      <c r="E25" s="51">
        <f t="shared" si="0"/>
        <v>60000</v>
      </c>
    </row>
    <row r="26" spans="1:6" s="52" customFormat="1" ht="20.149999999999999" customHeight="1" x14ac:dyDescent="0.3">
      <c r="A26" s="48" t="s">
        <v>107</v>
      </c>
      <c r="B26" s="54"/>
      <c r="C26" s="50">
        <v>3</v>
      </c>
      <c r="D26" s="50">
        <v>8000</v>
      </c>
      <c r="E26" s="51">
        <f t="shared" si="0"/>
        <v>24000</v>
      </c>
    </row>
    <row r="27" spans="1:6" s="52" customFormat="1" ht="20.149999999999999" customHeight="1" x14ac:dyDescent="0.3">
      <c r="A27" s="48" t="s">
        <v>108</v>
      </c>
      <c r="B27" s="54"/>
      <c r="C27" s="50">
        <v>9</v>
      </c>
      <c r="D27" s="50">
        <v>5000</v>
      </c>
      <c r="E27" s="51">
        <f t="shared" si="0"/>
        <v>45000</v>
      </c>
    </row>
    <row r="28" spans="1:6" s="52" customFormat="1" ht="20.149999999999999" customHeight="1" x14ac:dyDescent="0.3">
      <c r="A28" s="48" t="s">
        <v>109</v>
      </c>
      <c r="B28" s="54"/>
      <c r="C28" s="50">
        <v>48</v>
      </c>
      <c r="D28" s="50">
        <v>5000</v>
      </c>
      <c r="E28" s="51">
        <f t="shared" si="0"/>
        <v>240000</v>
      </c>
    </row>
    <row r="29" spans="1:6" ht="20.149999999999999" customHeight="1" x14ac:dyDescent="0.3">
      <c r="A29" s="48" t="s">
        <v>110</v>
      </c>
      <c r="B29" s="54"/>
      <c r="C29" s="50">
        <v>6</v>
      </c>
      <c r="D29" s="50">
        <v>12000</v>
      </c>
      <c r="E29" s="51">
        <f t="shared" si="0"/>
        <v>72000</v>
      </c>
      <c r="F29" s="52"/>
    </row>
    <row r="30" spans="1:6" ht="20.149999999999999" customHeight="1" x14ac:dyDescent="0.3">
      <c r="A30" s="48" t="s">
        <v>111</v>
      </c>
      <c r="B30" s="54"/>
      <c r="C30" s="50">
        <v>6</v>
      </c>
      <c r="D30" s="50">
        <v>2000</v>
      </c>
      <c r="E30" s="51">
        <f t="shared" si="0"/>
        <v>12000</v>
      </c>
    </row>
    <row r="31" spans="1:6" s="52" customFormat="1" ht="20.149999999999999" customHeight="1" x14ac:dyDescent="0.3">
      <c r="A31" s="43" t="s">
        <v>112</v>
      </c>
      <c r="B31" s="54"/>
      <c r="C31" s="50">
        <v>1</v>
      </c>
      <c r="D31" s="50">
        <v>60000</v>
      </c>
      <c r="E31" s="51">
        <f t="shared" si="0"/>
        <v>60000</v>
      </c>
    </row>
    <row r="32" spans="1:6" s="52" customFormat="1" ht="20.149999999999999" customHeight="1" thickBot="1" x14ac:dyDescent="0.35">
      <c r="A32" s="55" t="s">
        <v>75</v>
      </c>
      <c r="B32" s="56"/>
      <c r="C32" s="57"/>
      <c r="D32" s="57"/>
      <c r="E32" s="58">
        <f>SUM(E6:E31)</f>
        <v>1512700</v>
      </c>
    </row>
    <row r="33" spans="1:5" s="52" customFormat="1" ht="20.149999999999999" customHeight="1" x14ac:dyDescent="0.3">
      <c r="A33" s="59"/>
      <c r="B33" s="60"/>
      <c r="C33" s="61"/>
      <c r="D33" s="61"/>
      <c r="E33" s="62"/>
    </row>
    <row r="34" spans="1:5" s="52" customFormat="1" ht="18.75" customHeight="1" x14ac:dyDescent="0.3">
      <c r="A34" s="216" t="s">
        <v>147</v>
      </c>
      <c r="B34" s="216"/>
      <c r="C34" s="216"/>
      <c r="D34" s="216"/>
      <c r="E34" s="216"/>
    </row>
    <row r="35" spans="1:5" x14ac:dyDescent="0.3">
      <c r="A35" s="59"/>
      <c r="B35" s="60"/>
      <c r="C35" s="61"/>
      <c r="D35" s="61"/>
      <c r="E35" s="62"/>
    </row>
    <row r="36" spans="1:5" ht="74.25" customHeight="1" x14ac:dyDescent="0.3">
      <c r="A36" s="207" t="s">
        <v>113</v>
      </c>
      <c r="B36" s="207"/>
      <c r="C36" s="207"/>
      <c r="D36" s="207"/>
      <c r="E36" s="207"/>
    </row>
  </sheetData>
  <mergeCells count="6">
    <mergeCell ref="A36:E36"/>
    <mergeCell ref="A2:E2"/>
    <mergeCell ref="A4:A5"/>
    <mergeCell ref="B4:B5"/>
    <mergeCell ref="C4:E4"/>
    <mergeCell ref="A34:E34"/>
  </mergeCells>
  <printOptions horizontalCentered="1"/>
  <pageMargins left="0.19685039370078741" right="0" top="0" bottom="0.19685039370078741"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8A9-531C-45AF-B800-4C76F9B18283}">
  <sheetPr>
    <tabColor theme="9" tint="0.59999389629810485"/>
  </sheetPr>
  <dimension ref="A1:H23"/>
  <sheetViews>
    <sheetView zoomScaleNormal="100" workbookViewId="0">
      <selection activeCell="I5" sqref="I5"/>
    </sheetView>
  </sheetViews>
  <sheetFormatPr defaultColWidth="9.1796875" defaultRowHeight="13" x14ac:dyDescent="0.3"/>
  <cols>
    <col min="1" max="1" width="22.81640625" style="43" customWidth="1"/>
    <col min="2" max="2" width="38.1796875" style="43" customWidth="1"/>
    <col min="3" max="3" width="15.26953125" style="44" customWidth="1"/>
    <col min="4" max="4" width="11.7265625" style="44" customWidth="1"/>
    <col min="5" max="5" width="11.81640625" style="44" customWidth="1"/>
    <col min="6" max="16384" width="9.1796875" style="43"/>
  </cols>
  <sheetData>
    <row r="1" spans="1:8" ht="25.5" customHeight="1" x14ac:dyDescent="0.35">
      <c r="A1" s="208" t="s">
        <v>120</v>
      </c>
      <c r="B1" s="208"/>
      <c r="C1" s="208"/>
      <c r="D1" s="208"/>
      <c r="E1" s="208"/>
      <c r="F1" s="217" t="s">
        <v>354</v>
      </c>
      <c r="G1" s="217"/>
      <c r="H1" s="217"/>
    </row>
    <row r="2" spans="1:8" ht="13.5" thickBot="1" x14ac:dyDescent="0.35"/>
    <row r="3" spans="1:8" ht="28.5" customHeight="1" x14ac:dyDescent="0.3">
      <c r="A3" s="209" t="s">
        <v>82</v>
      </c>
      <c r="B3" s="211" t="s">
        <v>83</v>
      </c>
      <c r="C3" s="213" t="s">
        <v>84</v>
      </c>
      <c r="D3" s="214"/>
      <c r="E3" s="215"/>
    </row>
    <row r="4" spans="1:8" x14ac:dyDescent="0.3">
      <c r="A4" s="210"/>
      <c r="B4" s="212"/>
      <c r="C4" s="45" t="s">
        <v>85</v>
      </c>
      <c r="D4" s="46" t="s">
        <v>86</v>
      </c>
      <c r="E4" s="47" t="s">
        <v>87</v>
      </c>
    </row>
    <row r="5" spans="1:8" ht="25" customHeight="1" x14ac:dyDescent="0.3">
      <c r="A5" s="48" t="s">
        <v>121</v>
      </c>
      <c r="B5" s="49" t="s">
        <v>122</v>
      </c>
      <c r="C5" s="50">
        <v>1</v>
      </c>
      <c r="D5" s="50">
        <v>340000</v>
      </c>
      <c r="E5" s="51">
        <f t="shared" ref="E5:E20" si="0">C5*D5</f>
        <v>340000</v>
      </c>
    </row>
    <row r="6" spans="1:8" ht="25" customHeight="1" x14ac:dyDescent="0.3">
      <c r="A6" s="48" t="s">
        <v>123</v>
      </c>
      <c r="B6" s="49" t="s">
        <v>123</v>
      </c>
      <c r="C6" s="50">
        <v>12</v>
      </c>
      <c r="D6" s="50">
        <v>6050</v>
      </c>
      <c r="E6" s="51">
        <f t="shared" si="0"/>
        <v>72600</v>
      </c>
    </row>
    <row r="7" spans="1:8" ht="25" customHeight="1" x14ac:dyDescent="0.3">
      <c r="A7" s="48" t="s">
        <v>124</v>
      </c>
      <c r="B7" s="49" t="s">
        <v>125</v>
      </c>
      <c r="C7" s="50">
        <v>16</v>
      </c>
      <c r="D7" s="50">
        <v>1600</v>
      </c>
      <c r="E7" s="51">
        <f t="shared" si="0"/>
        <v>25600</v>
      </c>
    </row>
    <row r="8" spans="1:8" ht="25" customHeight="1" x14ac:dyDescent="0.3">
      <c r="A8" s="48" t="s">
        <v>126</v>
      </c>
      <c r="B8" s="49" t="s">
        <v>127</v>
      </c>
      <c r="C8" s="50">
        <v>13</v>
      </c>
      <c r="D8" s="50">
        <v>3025</v>
      </c>
      <c r="E8" s="51">
        <f t="shared" si="0"/>
        <v>39325</v>
      </c>
    </row>
    <row r="9" spans="1:8" ht="25" customHeight="1" x14ac:dyDescent="0.3">
      <c r="A9" s="48" t="s">
        <v>128</v>
      </c>
      <c r="B9" s="49"/>
      <c r="C9" s="50">
        <v>1</v>
      </c>
      <c r="D9" s="50">
        <v>42350</v>
      </c>
      <c r="E9" s="51">
        <f t="shared" si="0"/>
        <v>42350</v>
      </c>
    </row>
    <row r="10" spans="1:8" ht="25" customHeight="1" x14ac:dyDescent="0.3">
      <c r="A10" s="53" t="s">
        <v>117</v>
      </c>
      <c r="B10" s="49"/>
      <c r="C10" s="50">
        <v>1</v>
      </c>
      <c r="D10" s="50">
        <v>20000</v>
      </c>
      <c r="E10" s="51">
        <f t="shared" si="0"/>
        <v>20000</v>
      </c>
    </row>
    <row r="11" spans="1:8" ht="25" customHeight="1" x14ac:dyDescent="0.3">
      <c r="A11" s="53" t="s">
        <v>129</v>
      </c>
      <c r="B11" s="49" t="s">
        <v>129</v>
      </c>
      <c r="C11" s="50">
        <v>60</v>
      </c>
      <c r="D11" s="50">
        <v>1000</v>
      </c>
      <c r="E11" s="51">
        <f t="shared" si="0"/>
        <v>60000</v>
      </c>
    </row>
    <row r="12" spans="1:8" ht="25" customHeight="1" x14ac:dyDescent="0.3">
      <c r="A12" s="53" t="s">
        <v>130</v>
      </c>
      <c r="B12" s="49" t="s">
        <v>131</v>
      </c>
      <c r="C12" s="50">
        <v>1</v>
      </c>
      <c r="D12" s="50">
        <v>45000</v>
      </c>
      <c r="E12" s="51">
        <f t="shared" si="0"/>
        <v>45000</v>
      </c>
    </row>
    <row r="13" spans="1:8" ht="25" customHeight="1" x14ac:dyDescent="0.3">
      <c r="A13" s="53" t="s">
        <v>132</v>
      </c>
      <c r="B13" s="49" t="s">
        <v>133</v>
      </c>
      <c r="C13" s="50">
        <v>7</v>
      </c>
      <c r="D13" s="50">
        <v>12100</v>
      </c>
      <c r="E13" s="51">
        <f t="shared" si="0"/>
        <v>84700</v>
      </c>
    </row>
    <row r="14" spans="1:8" ht="25" customHeight="1" x14ac:dyDescent="0.3">
      <c r="A14" s="53"/>
      <c r="B14" s="49" t="s">
        <v>134</v>
      </c>
      <c r="C14" s="50">
        <v>36</v>
      </c>
      <c r="D14" s="50">
        <v>450</v>
      </c>
      <c r="E14" s="51">
        <f t="shared" si="0"/>
        <v>16200</v>
      </c>
    </row>
    <row r="15" spans="1:8" ht="25" customHeight="1" x14ac:dyDescent="0.3">
      <c r="A15" s="48" t="s">
        <v>135</v>
      </c>
      <c r="B15" s="54" t="s">
        <v>135</v>
      </c>
      <c r="C15" s="50">
        <v>3</v>
      </c>
      <c r="D15" s="50">
        <v>26000</v>
      </c>
      <c r="E15" s="51">
        <f t="shared" si="0"/>
        <v>78000</v>
      </c>
    </row>
    <row r="16" spans="1:8" ht="25" customHeight="1" x14ac:dyDescent="0.3">
      <c r="A16" s="48"/>
      <c r="B16" s="54" t="s">
        <v>136</v>
      </c>
      <c r="C16" s="50">
        <v>5</v>
      </c>
      <c r="D16" s="50">
        <v>5300</v>
      </c>
      <c r="E16" s="51">
        <f t="shared" si="0"/>
        <v>26500</v>
      </c>
    </row>
    <row r="17" spans="1:5" s="52" customFormat="1" ht="25" customHeight="1" x14ac:dyDescent="0.3">
      <c r="A17" s="48"/>
      <c r="B17" s="54" t="s">
        <v>137</v>
      </c>
      <c r="C17" s="50">
        <v>8</v>
      </c>
      <c r="D17" s="50">
        <v>2800</v>
      </c>
      <c r="E17" s="51">
        <f t="shared" si="0"/>
        <v>22400</v>
      </c>
    </row>
    <row r="18" spans="1:5" s="52" customFormat="1" ht="25" customHeight="1" x14ac:dyDescent="0.3">
      <c r="A18" s="48"/>
      <c r="B18" s="54" t="s">
        <v>138</v>
      </c>
      <c r="C18" s="50">
        <v>16</v>
      </c>
      <c r="D18" s="50">
        <v>3400</v>
      </c>
      <c r="E18" s="51">
        <f t="shared" si="0"/>
        <v>54400</v>
      </c>
    </row>
    <row r="19" spans="1:5" s="52" customFormat="1" ht="25" customHeight="1" x14ac:dyDescent="0.3">
      <c r="A19" s="85" t="s">
        <v>145</v>
      </c>
      <c r="B19" s="86"/>
      <c r="C19" s="87">
        <v>1</v>
      </c>
      <c r="D19" s="87">
        <v>300000</v>
      </c>
      <c r="E19" s="88">
        <f t="shared" si="0"/>
        <v>300000</v>
      </c>
    </row>
    <row r="20" spans="1:5" ht="18.75" customHeight="1" x14ac:dyDescent="0.3">
      <c r="A20" s="85" t="s">
        <v>139</v>
      </c>
      <c r="B20" s="86" t="s">
        <v>140</v>
      </c>
      <c r="C20" s="87">
        <v>1</v>
      </c>
      <c r="D20" s="87">
        <f>431000+200000</f>
        <v>631000</v>
      </c>
      <c r="E20" s="88">
        <f t="shared" si="0"/>
        <v>631000</v>
      </c>
    </row>
    <row r="21" spans="1:5" ht="18.75" customHeight="1" thickBot="1" x14ac:dyDescent="0.35">
      <c r="A21" s="55" t="s">
        <v>75</v>
      </c>
      <c r="B21" s="56"/>
      <c r="C21" s="57"/>
      <c r="D21" s="57"/>
      <c r="E21" s="58">
        <f>SUM(E5:E20)</f>
        <v>1858075</v>
      </c>
    </row>
    <row r="22" spans="1:5" s="52" customFormat="1" ht="18.75" customHeight="1" x14ac:dyDescent="0.3">
      <c r="A22" s="59"/>
      <c r="B22" s="60"/>
      <c r="C22" s="61"/>
      <c r="D22" s="61"/>
      <c r="E22" s="62"/>
    </row>
    <row r="23" spans="1:5" s="52" customFormat="1" ht="15.5" x14ac:dyDescent="0.3">
      <c r="A23" s="216" t="s">
        <v>146</v>
      </c>
      <c r="B23" s="216"/>
      <c r="C23" s="216"/>
      <c r="D23" s="216"/>
      <c r="E23" s="216"/>
    </row>
  </sheetData>
  <mergeCells count="6">
    <mergeCell ref="F1:H1"/>
    <mergeCell ref="A23:E23"/>
    <mergeCell ref="A1:E1"/>
    <mergeCell ref="A3:A4"/>
    <mergeCell ref="B3:B4"/>
    <mergeCell ref="C3:E3"/>
  </mergeCells>
  <printOptions horizontalCentered="1"/>
  <pageMargins left="0.19685039370078741" right="0" top="0" bottom="0.19685039370078741"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44B4-5BE4-4415-90A1-A8953966653A}">
  <dimension ref="B1:H27"/>
  <sheetViews>
    <sheetView workbookViewId="0">
      <pane ySplit="3" topLeftCell="A4" activePane="bottomLeft" state="frozen"/>
      <selection pane="bottomLeft" activeCell="C2" sqref="C2"/>
    </sheetView>
  </sheetViews>
  <sheetFormatPr defaultColWidth="8.81640625" defaultRowHeight="14.5" x14ac:dyDescent="0.35"/>
  <cols>
    <col min="1" max="1" width="8.81640625" style="78"/>
    <col min="2" max="2" width="106" style="78" bestFit="1" customWidth="1"/>
    <col min="3" max="3" width="10.1796875" style="83" bestFit="1" customWidth="1"/>
    <col min="4" max="5" width="9.1796875" style="83" customWidth="1"/>
    <col min="6" max="16384" width="8.81640625" style="78"/>
  </cols>
  <sheetData>
    <row r="1" spans="2:8" ht="117" customHeight="1" x14ac:dyDescent="0.35">
      <c r="F1" s="218" t="s">
        <v>355</v>
      </c>
      <c r="G1" s="218"/>
      <c r="H1" s="218"/>
    </row>
    <row r="3" spans="2:8" x14ac:dyDescent="0.35">
      <c r="B3" s="76" t="s">
        <v>54</v>
      </c>
      <c r="C3" s="77" t="s">
        <v>55</v>
      </c>
      <c r="D3" s="77" t="s">
        <v>56</v>
      </c>
      <c r="E3" s="77" t="s">
        <v>57</v>
      </c>
    </row>
    <row r="4" spans="2:8" x14ac:dyDescent="0.35">
      <c r="B4" s="79"/>
      <c r="C4" s="80"/>
      <c r="D4" s="80"/>
      <c r="E4" s="80"/>
    </row>
    <row r="5" spans="2:8" x14ac:dyDescent="0.35">
      <c r="B5" s="79" t="s">
        <v>58</v>
      </c>
      <c r="C5" s="80">
        <v>6</v>
      </c>
      <c r="D5" s="80">
        <v>350</v>
      </c>
      <c r="E5" s="80">
        <f t="shared" ref="E5:E20" si="0">C5*D5</f>
        <v>2100</v>
      </c>
    </row>
    <row r="6" spans="2:8" x14ac:dyDescent="0.35">
      <c r="B6" s="79" t="s">
        <v>59</v>
      </c>
      <c r="C6" s="80">
        <v>20</v>
      </c>
      <c r="D6" s="80">
        <v>20</v>
      </c>
      <c r="E6" s="80">
        <f t="shared" si="0"/>
        <v>400</v>
      </c>
    </row>
    <row r="7" spans="2:8" x14ac:dyDescent="0.35">
      <c r="B7" s="79" t="s">
        <v>60</v>
      </c>
      <c r="C7" s="80">
        <v>1</v>
      </c>
      <c r="D7" s="80">
        <v>1000</v>
      </c>
      <c r="E7" s="80">
        <f t="shared" si="0"/>
        <v>1000</v>
      </c>
      <c r="F7" s="78" t="s">
        <v>61</v>
      </c>
    </row>
    <row r="8" spans="2:8" x14ac:dyDescent="0.35">
      <c r="B8" s="79" t="s">
        <v>62</v>
      </c>
      <c r="C8" s="80">
        <v>1</v>
      </c>
      <c r="D8" s="80">
        <v>290</v>
      </c>
      <c r="E8" s="80">
        <f t="shared" si="0"/>
        <v>290</v>
      </c>
      <c r="F8" s="78" t="s">
        <v>61</v>
      </c>
    </row>
    <row r="9" spans="2:8" x14ac:dyDescent="0.35">
      <c r="B9" s="79" t="s">
        <v>63</v>
      </c>
      <c r="C9" s="80">
        <v>1</v>
      </c>
      <c r="D9" s="80">
        <v>370</v>
      </c>
      <c r="E9" s="80">
        <f t="shared" si="0"/>
        <v>370</v>
      </c>
      <c r="F9" s="78" t="s">
        <v>61</v>
      </c>
    </row>
    <row r="10" spans="2:8" x14ac:dyDescent="0.35">
      <c r="B10" s="79" t="s">
        <v>64</v>
      </c>
      <c r="C10" s="80">
        <v>1</v>
      </c>
      <c r="D10" s="80">
        <v>280</v>
      </c>
      <c r="E10" s="80">
        <f t="shared" si="0"/>
        <v>280</v>
      </c>
    </row>
    <row r="11" spans="2:8" x14ac:dyDescent="0.35">
      <c r="B11" s="79" t="s">
        <v>65</v>
      </c>
      <c r="C11" s="80">
        <v>2</v>
      </c>
      <c r="D11" s="80">
        <v>154</v>
      </c>
      <c r="E11" s="80">
        <f t="shared" si="0"/>
        <v>308</v>
      </c>
    </row>
    <row r="12" spans="2:8" x14ac:dyDescent="0.35">
      <c r="B12" s="79" t="s">
        <v>66</v>
      </c>
      <c r="C12" s="80">
        <v>1</v>
      </c>
      <c r="D12" s="80">
        <v>120</v>
      </c>
      <c r="E12" s="80">
        <f t="shared" si="0"/>
        <v>120</v>
      </c>
      <c r="F12" s="78" t="s">
        <v>61</v>
      </c>
    </row>
    <row r="13" spans="2:8" x14ac:dyDescent="0.35">
      <c r="B13" s="79" t="s">
        <v>67</v>
      </c>
      <c r="C13" s="80">
        <v>1</v>
      </c>
      <c r="D13" s="80">
        <v>420</v>
      </c>
      <c r="E13" s="80">
        <f t="shared" si="0"/>
        <v>420</v>
      </c>
    </row>
    <row r="14" spans="2:8" x14ac:dyDescent="0.35">
      <c r="B14" s="79" t="s">
        <v>68</v>
      </c>
      <c r="C14" s="80">
        <v>1</v>
      </c>
      <c r="D14" s="80">
        <v>500</v>
      </c>
      <c r="E14" s="80">
        <f t="shared" si="0"/>
        <v>500</v>
      </c>
    </row>
    <row r="15" spans="2:8" x14ac:dyDescent="0.35">
      <c r="B15" s="79" t="s">
        <v>69</v>
      </c>
      <c r="C15" s="80">
        <v>1</v>
      </c>
      <c r="D15" s="80">
        <v>500</v>
      </c>
      <c r="E15" s="80">
        <f t="shared" si="0"/>
        <v>500</v>
      </c>
    </row>
    <row r="16" spans="2:8" x14ac:dyDescent="0.35">
      <c r="B16" s="79" t="s">
        <v>70</v>
      </c>
      <c r="C16" s="80">
        <v>4</v>
      </c>
      <c r="D16" s="80">
        <v>190</v>
      </c>
      <c r="E16" s="80">
        <f t="shared" si="0"/>
        <v>760</v>
      </c>
    </row>
    <row r="17" spans="2:6" x14ac:dyDescent="0.35">
      <c r="B17" s="79" t="s">
        <v>71</v>
      </c>
      <c r="C17" s="80">
        <v>1</v>
      </c>
      <c r="D17" s="80">
        <v>1500</v>
      </c>
      <c r="E17" s="80">
        <f t="shared" si="0"/>
        <v>1500</v>
      </c>
    </row>
    <row r="18" spans="2:6" x14ac:dyDescent="0.35">
      <c r="B18" s="79" t="s">
        <v>72</v>
      </c>
      <c r="C18" s="80">
        <v>6</v>
      </c>
      <c r="D18" s="80">
        <v>190</v>
      </c>
      <c r="E18" s="80">
        <f t="shared" si="0"/>
        <v>1140</v>
      </c>
    </row>
    <row r="19" spans="2:6" x14ac:dyDescent="0.35">
      <c r="B19" s="79" t="s">
        <v>73</v>
      </c>
      <c r="C19" s="80">
        <v>1</v>
      </c>
      <c r="D19" s="80">
        <v>100</v>
      </c>
      <c r="E19" s="80">
        <f t="shared" si="0"/>
        <v>100</v>
      </c>
    </row>
    <row r="20" spans="2:6" x14ac:dyDescent="0.35">
      <c r="B20" s="81" t="s">
        <v>74</v>
      </c>
      <c r="C20" s="80">
        <v>1</v>
      </c>
      <c r="D20" s="80">
        <v>700</v>
      </c>
      <c r="E20" s="80">
        <f t="shared" si="0"/>
        <v>700</v>
      </c>
    </row>
    <row r="21" spans="2:6" x14ac:dyDescent="0.35">
      <c r="C21" s="80"/>
      <c r="D21" s="80"/>
      <c r="E21" s="77">
        <f>SUM(E5:E20)</f>
        <v>10488</v>
      </c>
      <c r="F21" s="77" t="s">
        <v>75</v>
      </c>
    </row>
    <row r="23" spans="2:6" x14ac:dyDescent="0.35">
      <c r="B23" s="82" t="s">
        <v>77</v>
      </c>
      <c r="C23" s="77">
        <f>E5+E6+E10+E11+E14+E15+E17+E16+E18+E19</f>
        <v>7588</v>
      </c>
    </row>
    <row r="24" spans="2:6" x14ac:dyDescent="0.35">
      <c r="B24" s="82" t="s">
        <v>78</v>
      </c>
      <c r="C24" s="77">
        <f>E13+E20</f>
        <v>1120</v>
      </c>
    </row>
    <row r="26" spans="2:6" x14ac:dyDescent="0.35">
      <c r="B26" s="82" t="s">
        <v>76</v>
      </c>
      <c r="C26" s="77">
        <f>E7+E8+E9+E12</f>
        <v>1780</v>
      </c>
    </row>
    <row r="27" spans="2:6" x14ac:dyDescent="0.35">
      <c r="C27" s="84">
        <f>SUM(C23:C26)</f>
        <v>10488</v>
      </c>
    </row>
  </sheetData>
  <mergeCells count="1">
    <mergeCell ref="F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F242-EC02-4F80-B0AD-CD28E45D2AC7}">
  <dimension ref="A1:L40"/>
  <sheetViews>
    <sheetView zoomScale="80" zoomScaleNormal="80" workbookViewId="0">
      <selection activeCell="H1" sqref="H1:I1"/>
    </sheetView>
  </sheetViews>
  <sheetFormatPr defaultColWidth="8.7265625" defaultRowHeight="15.5" x14ac:dyDescent="0.35"/>
  <cols>
    <col min="1" max="1" width="8.7265625" style="90"/>
    <col min="2" max="2" width="78.453125" style="90" customWidth="1"/>
    <col min="3" max="3" width="23" style="91" customWidth="1"/>
    <col min="4" max="4" width="11.54296875" style="91" bestFit="1" customWidth="1"/>
    <col min="5" max="5" width="15.1796875" style="91" bestFit="1" customWidth="1"/>
    <col min="6" max="6" width="15.1796875" style="91" customWidth="1"/>
    <col min="7" max="7" width="14.54296875" style="91" bestFit="1" customWidth="1"/>
    <col min="8" max="8" width="22.81640625" style="91" customWidth="1"/>
    <col min="9" max="9" width="23.54296875" style="91" customWidth="1"/>
    <col min="10" max="10" width="14.54296875" style="91" customWidth="1"/>
    <col min="11" max="11" width="96.26953125" style="90" bestFit="1" customWidth="1"/>
    <col min="12" max="16384" width="8.7265625" style="90"/>
  </cols>
  <sheetData>
    <row r="1" spans="1:12" ht="90" customHeight="1" x14ac:dyDescent="0.35">
      <c r="H1" s="206" t="s">
        <v>356</v>
      </c>
      <c r="I1" s="206"/>
    </row>
    <row r="2" spans="1:12" x14ac:dyDescent="0.35">
      <c r="A2" s="93" t="s">
        <v>214</v>
      </c>
    </row>
    <row r="3" spans="1:12" ht="16.5" customHeight="1" x14ac:dyDescent="0.35"/>
    <row r="4" spans="1:12" ht="16" thickBot="1" x14ac:dyDescent="0.4">
      <c r="B4" s="90" t="s">
        <v>0</v>
      </c>
      <c r="C4" s="91" t="s">
        <v>213</v>
      </c>
      <c r="D4" s="91" t="s">
        <v>212</v>
      </c>
      <c r="E4" s="91" t="s">
        <v>211</v>
      </c>
      <c r="F4" s="91" t="s">
        <v>210</v>
      </c>
      <c r="G4" s="91" t="s">
        <v>209</v>
      </c>
      <c r="H4" s="180" t="s">
        <v>313</v>
      </c>
      <c r="I4" s="180" t="s">
        <v>314</v>
      </c>
      <c r="K4" s="90" t="s">
        <v>208</v>
      </c>
    </row>
    <row r="5" spans="1:12" s="94" customFormat="1" ht="96.75" customHeight="1" x14ac:dyDescent="0.35">
      <c r="A5" s="112">
        <v>1</v>
      </c>
      <c r="B5" s="127" t="s">
        <v>207</v>
      </c>
      <c r="C5" s="126" t="s">
        <v>177</v>
      </c>
      <c r="D5" s="110">
        <v>1</v>
      </c>
      <c r="E5" s="109">
        <v>8800</v>
      </c>
      <c r="F5" s="109">
        <f t="shared" ref="F5:F13" si="0">E5*1.21</f>
        <v>10648</v>
      </c>
      <c r="G5" s="181">
        <f>F5*D5</f>
        <v>10648</v>
      </c>
      <c r="H5" s="101">
        <f>G5</f>
        <v>10648</v>
      </c>
      <c r="I5" s="101"/>
      <c r="J5" s="96">
        <v>1</v>
      </c>
      <c r="K5" s="219" t="s">
        <v>206</v>
      </c>
    </row>
    <row r="6" spans="1:12" s="94" customFormat="1" ht="31" x14ac:dyDescent="0.35">
      <c r="A6" s="104">
        <v>2</v>
      </c>
      <c r="B6" s="124" t="s">
        <v>205</v>
      </c>
      <c r="C6" s="125" t="s">
        <v>177</v>
      </c>
      <c r="D6" s="102">
        <v>1</v>
      </c>
      <c r="E6" s="101">
        <f>1836+1300+4100+3390</f>
        <v>10626</v>
      </c>
      <c r="F6" s="101">
        <f t="shared" si="0"/>
        <v>12857.46</v>
      </c>
      <c r="G6" s="182">
        <f>F6*D6</f>
        <v>12857.46</v>
      </c>
      <c r="H6" s="101">
        <f>G6</f>
        <v>12857.46</v>
      </c>
      <c r="I6" s="101"/>
      <c r="J6" s="96">
        <v>1</v>
      </c>
      <c r="K6" s="219"/>
    </row>
    <row r="7" spans="1:12" s="94" customFormat="1" ht="31" x14ac:dyDescent="0.35">
      <c r="A7" s="104">
        <v>3</v>
      </c>
      <c r="B7" s="124" t="s">
        <v>204</v>
      </c>
      <c r="C7" s="123" t="s">
        <v>203</v>
      </c>
      <c r="D7" s="102">
        <v>1</v>
      </c>
      <c r="E7" s="101">
        <f>8000+45880</f>
        <v>53880</v>
      </c>
      <c r="F7" s="101">
        <f t="shared" si="0"/>
        <v>65194.799999999996</v>
      </c>
      <c r="G7" s="182">
        <f>F7*D7</f>
        <v>65194.799999999996</v>
      </c>
      <c r="H7" s="101"/>
      <c r="I7" s="101">
        <f>G7</f>
        <v>65194.799999999996</v>
      </c>
      <c r="J7" s="96">
        <v>1</v>
      </c>
      <c r="K7" s="219"/>
    </row>
    <row r="8" spans="1:12" s="94" customFormat="1" x14ac:dyDescent="0.35">
      <c r="A8" s="104">
        <v>4</v>
      </c>
      <c r="B8" s="124" t="s">
        <v>202</v>
      </c>
      <c r="C8" s="123" t="s">
        <v>163</v>
      </c>
      <c r="D8" s="102">
        <v>1</v>
      </c>
      <c r="E8" s="101">
        <v>7000</v>
      </c>
      <c r="F8" s="101">
        <f t="shared" si="0"/>
        <v>8470</v>
      </c>
      <c r="G8" s="182">
        <f>F8*D8</f>
        <v>8470</v>
      </c>
      <c r="H8" s="101"/>
      <c r="I8" s="101">
        <f t="shared" ref="I8:I14" si="1">G8</f>
        <v>8470</v>
      </c>
      <c r="J8" s="96">
        <v>1</v>
      </c>
      <c r="K8" s="219"/>
    </row>
    <row r="9" spans="1:12" s="94" customFormat="1" ht="46.5" x14ac:dyDescent="0.35">
      <c r="A9" s="104">
        <v>5</v>
      </c>
      <c r="B9" s="122" t="s">
        <v>201</v>
      </c>
      <c r="C9" s="121" t="s">
        <v>173</v>
      </c>
      <c r="D9" s="120">
        <v>1</v>
      </c>
      <c r="E9" s="119">
        <v>132480</v>
      </c>
      <c r="F9" s="119">
        <f t="shared" si="0"/>
        <v>160300.79999999999</v>
      </c>
      <c r="G9" s="183">
        <f>D9*F9</f>
        <v>160300.79999999999</v>
      </c>
      <c r="H9" s="119"/>
      <c r="I9" s="101">
        <f t="shared" si="1"/>
        <v>160300.79999999999</v>
      </c>
      <c r="J9" s="118">
        <v>1</v>
      </c>
      <c r="K9" s="95" t="s">
        <v>200</v>
      </c>
    </row>
    <row r="10" spans="1:12" s="94" customFormat="1" ht="31" x14ac:dyDescent="0.35">
      <c r="A10" s="104">
        <v>6</v>
      </c>
      <c r="B10" s="103" t="s">
        <v>166</v>
      </c>
      <c r="C10" s="102" t="s">
        <v>163</v>
      </c>
      <c r="D10" s="102">
        <v>8</v>
      </c>
      <c r="E10" s="101">
        <f>4000</f>
        <v>4000</v>
      </c>
      <c r="F10" s="101">
        <f t="shared" si="0"/>
        <v>4840</v>
      </c>
      <c r="G10" s="182">
        <f>F10*D10</f>
        <v>38720</v>
      </c>
      <c r="H10" s="101"/>
      <c r="I10" s="101">
        <f t="shared" si="1"/>
        <v>38720</v>
      </c>
      <c r="J10" s="96">
        <v>1</v>
      </c>
      <c r="K10" s="95" t="s">
        <v>165</v>
      </c>
    </row>
    <row r="11" spans="1:12" s="94" customFormat="1" ht="31" x14ac:dyDescent="0.35">
      <c r="A11" s="104">
        <v>7</v>
      </c>
      <c r="B11" s="103" t="s">
        <v>164</v>
      </c>
      <c r="C11" s="102" t="s">
        <v>163</v>
      </c>
      <c r="D11" s="102">
        <v>8</v>
      </c>
      <c r="E11" s="101">
        <v>2350</v>
      </c>
      <c r="F11" s="101">
        <f t="shared" si="0"/>
        <v>2843.5</v>
      </c>
      <c r="G11" s="182">
        <f>F11*D11</f>
        <v>22748</v>
      </c>
      <c r="H11" s="101"/>
      <c r="I11" s="101">
        <f t="shared" si="1"/>
        <v>22748</v>
      </c>
      <c r="J11" s="96">
        <v>1</v>
      </c>
      <c r="K11" s="95" t="s">
        <v>162</v>
      </c>
    </row>
    <row r="12" spans="1:12" s="94" customFormat="1" ht="46.5" x14ac:dyDescent="0.35">
      <c r="A12" s="104">
        <v>8</v>
      </c>
      <c r="B12" s="103" t="s">
        <v>199</v>
      </c>
      <c r="C12" s="102" t="s">
        <v>163</v>
      </c>
      <c r="D12" s="102">
        <v>1</v>
      </c>
      <c r="E12" s="101">
        <v>25000</v>
      </c>
      <c r="F12" s="101">
        <f t="shared" si="0"/>
        <v>30250</v>
      </c>
      <c r="G12" s="182">
        <f>F12*D12</f>
        <v>30250</v>
      </c>
      <c r="H12" s="101"/>
      <c r="I12" s="101">
        <f t="shared" si="1"/>
        <v>30250</v>
      </c>
      <c r="J12" s="96">
        <v>1</v>
      </c>
      <c r="K12" s="95" t="s">
        <v>198</v>
      </c>
    </row>
    <row r="13" spans="1:12" s="94" customFormat="1" ht="62" x14ac:dyDescent="0.35">
      <c r="A13" s="104">
        <v>9</v>
      </c>
      <c r="B13" s="103" t="s">
        <v>197</v>
      </c>
      <c r="C13" s="102" t="s">
        <v>173</v>
      </c>
      <c r="D13" s="102">
        <v>1</v>
      </c>
      <c r="E13" s="101">
        <v>600000</v>
      </c>
      <c r="F13" s="101">
        <f t="shared" si="0"/>
        <v>726000</v>
      </c>
      <c r="G13" s="182">
        <f>F13*D13</f>
        <v>726000</v>
      </c>
      <c r="H13" s="101"/>
      <c r="I13" s="101">
        <f t="shared" si="1"/>
        <v>726000</v>
      </c>
      <c r="J13" s="96">
        <v>1</v>
      </c>
      <c r="K13" s="95" t="s">
        <v>196</v>
      </c>
    </row>
    <row r="14" spans="1:12" s="94" customFormat="1" ht="31" x14ac:dyDescent="0.35">
      <c r="A14" s="104">
        <v>10</v>
      </c>
      <c r="B14" s="103" t="s">
        <v>195</v>
      </c>
      <c r="C14" s="102" t="s">
        <v>163</v>
      </c>
      <c r="D14" s="102">
        <v>1</v>
      </c>
      <c r="E14" s="101">
        <v>13000</v>
      </c>
      <c r="F14" s="101">
        <v>15730</v>
      </c>
      <c r="G14" s="182">
        <v>15730</v>
      </c>
      <c r="H14" s="101"/>
      <c r="I14" s="101">
        <f t="shared" si="1"/>
        <v>15730</v>
      </c>
      <c r="J14" s="96">
        <v>1</v>
      </c>
      <c r="K14" s="95" t="s">
        <v>194</v>
      </c>
    </row>
    <row r="15" spans="1:12" s="94" customFormat="1" ht="33" customHeight="1" x14ac:dyDescent="0.35">
      <c r="A15" s="104">
        <v>12</v>
      </c>
      <c r="B15" s="103" t="s">
        <v>193</v>
      </c>
      <c r="C15" s="107" t="s">
        <v>177</v>
      </c>
      <c r="D15" s="102">
        <v>1</v>
      </c>
      <c r="E15" s="101">
        <v>5000</v>
      </c>
      <c r="F15" s="101">
        <f t="shared" ref="F15:F25" si="2">E15*1.21</f>
        <v>6050</v>
      </c>
      <c r="G15" s="182">
        <f t="shared" ref="G15:G25" si="3">F15*D15</f>
        <v>6050</v>
      </c>
      <c r="H15" s="101">
        <f>G15</f>
        <v>6050</v>
      </c>
      <c r="I15" s="101"/>
      <c r="J15" s="96">
        <v>1</v>
      </c>
      <c r="K15" s="106" t="s">
        <v>176</v>
      </c>
      <c r="L15" s="95"/>
    </row>
    <row r="16" spans="1:12" s="94" customFormat="1" x14ac:dyDescent="0.35">
      <c r="A16" s="104">
        <v>14</v>
      </c>
      <c r="B16" s="103" t="s">
        <v>192</v>
      </c>
      <c r="C16" s="102" t="s">
        <v>173</v>
      </c>
      <c r="D16" s="102">
        <v>2</v>
      </c>
      <c r="E16" s="101">
        <v>1500</v>
      </c>
      <c r="F16" s="101">
        <f t="shared" si="2"/>
        <v>1815</v>
      </c>
      <c r="G16" s="182">
        <f t="shared" si="3"/>
        <v>3630</v>
      </c>
      <c r="H16" s="101"/>
      <c r="I16" s="101">
        <f>G16</f>
        <v>3630</v>
      </c>
      <c r="J16" s="96">
        <v>1</v>
      </c>
      <c r="K16" s="106" t="s">
        <v>176</v>
      </c>
      <c r="L16" s="95"/>
    </row>
    <row r="17" spans="1:12" s="94" customFormat="1" x14ac:dyDescent="0.35">
      <c r="A17" s="104">
        <v>15</v>
      </c>
      <c r="B17" s="103" t="s">
        <v>191</v>
      </c>
      <c r="C17" s="102" t="s">
        <v>173</v>
      </c>
      <c r="D17" s="102">
        <v>1</v>
      </c>
      <c r="E17" s="101">
        <v>200000</v>
      </c>
      <c r="F17" s="101">
        <f t="shared" si="2"/>
        <v>242000</v>
      </c>
      <c r="G17" s="182">
        <f t="shared" si="3"/>
        <v>242000</v>
      </c>
      <c r="H17" s="101"/>
      <c r="I17" s="101">
        <f>G17</f>
        <v>242000</v>
      </c>
      <c r="J17" s="96">
        <v>1</v>
      </c>
      <c r="K17" s="106" t="s">
        <v>190</v>
      </c>
      <c r="L17" s="95"/>
    </row>
    <row r="18" spans="1:12" s="94" customFormat="1" x14ac:dyDescent="0.35">
      <c r="A18" s="104">
        <v>16</v>
      </c>
      <c r="B18" s="103" t="s">
        <v>189</v>
      </c>
      <c r="C18" s="107" t="s">
        <v>170</v>
      </c>
      <c r="D18" s="102">
        <v>1</v>
      </c>
      <c r="E18" s="101">
        <v>65000</v>
      </c>
      <c r="F18" s="101">
        <f t="shared" si="2"/>
        <v>78650</v>
      </c>
      <c r="G18" s="182">
        <f t="shared" si="3"/>
        <v>78650</v>
      </c>
      <c r="H18" s="101">
        <f>G18</f>
        <v>78650</v>
      </c>
      <c r="I18" s="101"/>
      <c r="J18" s="96">
        <v>1</v>
      </c>
      <c r="K18" s="106" t="s">
        <v>188</v>
      </c>
      <c r="L18" s="95"/>
    </row>
    <row r="19" spans="1:12" s="94" customFormat="1" ht="31" x14ac:dyDescent="0.35">
      <c r="A19" s="104">
        <v>18</v>
      </c>
      <c r="B19" s="103" t="s">
        <v>187</v>
      </c>
      <c r="C19" s="102" t="s">
        <v>173</v>
      </c>
      <c r="D19" s="102">
        <v>35</v>
      </c>
      <c r="E19" s="101">
        <v>650</v>
      </c>
      <c r="F19" s="101">
        <f t="shared" si="2"/>
        <v>786.5</v>
      </c>
      <c r="G19" s="182">
        <f t="shared" si="3"/>
        <v>27527.5</v>
      </c>
      <c r="H19" s="101"/>
      <c r="I19" s="101">
        <f>G19</f>
        <v>27527.5</v>
      </c>
      <c r="J19" s="96">
        <v>1</v>
      </c>
      <c r="K19" s="106" t="s">
        <v>186</v>
      </c>
      <c r="L19" s="95"/>
    </row>
    <row r="20" spans="1:12" s="94" customFormat="1" x14ac:dyDescent="0.35">
      <c r="A20" s="104">
        <v>20</v>
      </c>
      <c r="B20" s="103" t="s">
        <v>185</v>
      </c>
      <c r="C20" s="107" t="s">
        <v>170</v>
      </c>
      <c r="D20" s="102">
        <v>1</v>
      </c>
      <c r="E20" s="101">
        <v>30000</v>
      </c>
      <c r="F20" s="101">
        <f t="shared" si="2"/>
        <v>36300</v>
      </c>
      <c r="G20" s="182">
        <f t="shared" si="3"/>
        <v>36300</v>
      </c>
      <c r="H20" s="101">
        <f>G20</f>
        <v>36300</v>
      </c>
      <c r="I20" s="101"/>
      <c r="J20" s="96">
        <v>1</v>
      </c>
      <c r="K20" s="116" t="s">
        <v>184</v>
      </c>
      <c r="L20" s="95"/>
    </row>
    <row r="21" spans="1:12" s="94" customFormat="1" x14ac:dyDescent="0.35">
      <c r="A21" s="104">
        <v>21</v>
      </c>
      <c r="B21" s="103" t="s">
        <v>183</v>
      </c>
      <c r="C21" s="102" t="s">
        <v>173</v>
      </c>
      <c r="D21" s="102">
        <v>2</v>
      </c>
      <c r="E21" s="101">
        <v>5800</v>
      </c>
      <c r="F21" s="101">
        <f t="shared" si="2"/>
        <v>7018</v>
      </c>
      <c r="G21" s="182">
        <f t="shared" si="3"/>
        <v>14036</v>
      </c>
      <c r="H21" s="101"/>
      <c r="I21" s="101">
        <f>G21</f>
        <v>14036</v>
      </c>
      <c r="J21" s="96">
        <v>1</v>
      </c>
      <c r="K21" s="116" t="s">
        <v>182</v>
      </c>
      <c r="L21" s="95"/>
    </row>
    <row r="22" spans="1:12" s="94" customFormat="1" x14ac:dyDescent="0.35">
      <c r="A22" s="104">
        <v>22</v>
      </c>
      <c r="B22" s="103" t="s">
        <v>181</v>
      </c>
      <c r="C22" s="107" t="s">
        <v>177</v>
      </c>
      <c r="D22" s="102">
        <v>1</v>
      </c>
      <c r="E22" s="101">
        <v>3000</v>
      </c>
      <c r="F22" s="101">
        <f t="shared" si="2"/>
        <v>3630</v>
      </c>
      <c r="G22" s="182">
        <f t="shared" si="3"/>
        <v>3630</v>
      </c>
      <c r="H22" s="101">
        <f>G22</f>
        <v>3630</v>
      </c>
      <c r="I22" s="101"/>
      <c r="J22" s="96">
        <v>1</v>
      </c>
      <c r="K22" s="116" t="s">
        <v>176</v>
      </c>
      <c r="L22" s="95"/>
    </row>
    <row r="23" spans="1:12" s="94" customFormat="1" x14ac:dyDescent="0.35">
      <c r="A23" s="104">
        <v>23</v>
      </c>
      <c r="B23" s="103" t="s">
        <v>180</v>
      </c>
      <c r="C23" s="107" t="s">
        <v>177</v>
      </c>
      <c r="D23" s="102">
        <v>1</v>
      </c>
      <c r="E23" s="101">
        <v>850</v>
      </c>
      <c r="F23" s="101">
        <f t="shared" si="2"/>
        <v>1028.5</v>
      </c>
      <c r="G23" s="182">
        <f t="shared" si="3"/>
        <v>1028.5</v>
      </c>
      <c r="H23" s="101">
        <f t="shared" ref="H23:H25" si="4">G23</f>
        <v>1028.5</v>
      </c>
      <c r="I23" s="101"/>
      <c r="J23" s="96">
        <v>1</v>
      </c>
      <c r="K23" s="116" t="s">
        <v>176</v>
      </c>
      <c r="L23" s="95"/>
    </row>
    <row r="24" spans="1:12" s="94" customFormat="1" x14ac:dyDescent="0.35">
      <c r="A24" s="104">
        <v>24</v>
      </c>
      <c r="B24" s="103" t="s">
        <v>179</v>
      </c>
      <c r="C24" s="107" t="s">
        <v>177</v>
      </c>
      <c r="D24" s="102">
        <v>2</v>
      </c>
      <c r="E24" s="101">
        <v>1200</v>
      </c>
      <c r="F24" s="101">
        <f t="shared" si="2"/>
        <v>1452</v>
      </c>
      <c r="G24" s="182">
        <f t="shared" si="3"/>
        <v>2904</v>
      </c>
      <c r="H24" s="101">
        <f t="shared" si="4"/>
        <v>2904</v>
      </c>
      <c r="I24" s="101"/>
      <c r="J24" s="96">
        <v>1</v>
      </c>
      <c r="K24" s="116" t="s">
        <v>176</v>
      </c>
      <c r="L24" s="95"/>
    </row>
    <row r="25" spans="1:12" s="94" customFormat="1" ht="16" thickBot="1" x14ac:dyDescent="0.4">
      <c r="A25" s="100">
        <v>25</v>
      </c>
      <c r="B25" s="99" t="s">
        <v>178</v>
      </c>
      <c r="C25" s="117" t="s">
        <v>177</v>
      </c>
      <c r="D25" s="98">
        <v>3</v>
      </c>
      <c r="E25" s="97">
        <v>2600</v>
      </c>
      <c r="F25" s="97">
        <f t="shared" si="2"/>
        <v>3146</v>
      </c>
      <c r="G25" s="184">
        <f t="shared" si="3"/>
        <v>9438</v>
      </c>
      <c r="H25" s="101">
        <f t="shared" si="4"/>
        <v>9438</v>
      </c>
      <c r="I25" s="101"/>
      <c r="J25" s="96">
        <v>1</v>
      </c>
      <c r="K25" s="116" t="s">
        <v>176</v>
      </c>
      <c r="L25" s="95"/>
    </row>
    <row r="26" spans="1:12" x14ac:dyDescent="0.35">
      <c r="B26" s="93" t="s">
        <v>75</v>
      </c>
      <c r="C26" s="115"/>
      <c r="E26" s="114"/>
      <c r="F26" s="114"/>
      <c r="G26" s="113">
        <f>SUM(G5:G25)</f>
        <v>1516113.06</v>
      </c>
      <c r="H26" s="113">
        <f>SUM(H5:H25)</f>
        <v>161505.96</v>
      </c>
      <c r="I26" s="113">
        <f>SUM(I5:I25)</f>
        <v>1354607.1</v>
      </c>
      <c r="J26" s="113"/>
    </row>
    <row r="27" spans="1:12" ht="16" thickBot="1" x14ac:dyDescent="0.4">
      <c r="B27" s="90" t="s">
        <v>175</v>
      </c>
    </row>
    <row r="28" spans="1:12" s="94" customFormat="1" ht="31" x14ac:dyDescent="0.35">
      <c r="A28" s="112">
        <v>17</v>
      </c>
      <c r="B28" s="111" t="s">
        <v>174</v>
      </c>
      <c r="C28" s="110" t="s">
        <v>173</v>
      </c>
      <c r="D28" s="110">
        <v>1</v>
      </c>
      <c r="E28" s="109">
        <v>125000</v>
      </c>
      <c r="F28" s="109">
        <f>E28*1.21</f>
        <v>151250</v>
      </c>
      <c r="G28" s="181">
        <f>F28*D28</f>
        <v>151250</v>
      </c>
      <c r="H28" s="101"/>
      <c r="I28" s="101">
        <f>G28</f>
        <v>151250</v>
      </c>
      <c r="J28" s="96"/>
      <c r="K28" s="108" t="s">
        <v>172</v>
      </c>
      <c r="L28" s="95"/>
    </row>
    <row r="29" spans="1:12" s="94" customFormat="1" ht="31" x14ac:dyDescent="0.35">
      <c r="A29" s="104">
        <v>19</v>
      </c>
      <c r="B29" s="103" t="s">
        <v>171</v>
      </c>
      <c r="C29" s="107" t="s">
        <v>170</v>
      </c>
      <c r="D29" s="102">
        <v>5</v>
      </c>
      <c r="E29" s="101">
        <v>2300</v>
      </c>
      <c r="F29" s="101">
        <f>E29*1.21</f>
        <v>2783</v>
      </c>
      <c r="G29" s="182">
        <f>F29*D29</f>
        <v>13915</v>
      </c>
      <c r="H29" s="101">
        <f>G29</f>
        <v>13915</v>
      </c>
      <c r="I29" s="101"/>
      <c r="J29" s="96">
        <v>1</v>
      </c>
      <c r="K29" s="106" t="s">
        <v>169</v>
      </c>
      <c r="L29" s="95"/>
    </row>
    <row r="30" spans="1:12" s="94" customFormat="1" ht="31" x14ac:dyDescent="0.35">
      <c r="A30" s="104">
        <v>11</v>
      </c>
      <c r="B30" s="103" t="s">
        <v>168</v>
      </c>
      <c r="C30" s="102" t="s">
        <v>163</v>
      </c>
      <c r="D30" s="102">
        <v>1</v>
      </c>
      <c r="E30" s="101">
        <v>45000</v>
      </c>
      <c r="F30" s="101">
        <f>E30*1.21</f>
        <v>54450</v>
      </c>
      <c r="G30" s="182">
        <f>F30*D30</f>
        <v>54450</v>
      </c>
      <c r="H30" s="101"/>
      <c r="I30" s="101">
        <f>G30</f>
        <v>54450</v>
      </c>
      <c r="J30" s="96"/>
      <c r="K30" s="105" t="s">
        <v>167</v>
      </c>
      <c r="L30" s="95"/>
    </row>
    <row r="31" spans="1:12" s="94" customFormat="1" ht="31" x14ac:dyDescent="0.35">
      <c r="A31" s="104">
        <v>6</v>
      </c>
      <c r="B31" s="103" t="s">
        <v>166</v>
      </c>
      <c r="C31" s="102" t="s">
        <v>163</v>
      </c>
      <c r="D31" s="102">
        <v>8</v>
      </c>
      <c r="E31" s="101">
        <f>4000</f>
        <v>4000</v>
      </c>
      <c r="F31" s="101">
        <f>E31*1.21</f>
        <v>4840</v>
      </c>
      <c r="G31" s="182">
        <f>F31*D31</f>
        <v>38720</v>
      </c>
      <c r="H31" s="101"/>
      <c r="I31" s="101">
        <f t="shared" ref="I31:I32" si="5">G31</f>
        <v>38720</v>
      </c>
      <c r="J31" s="96">
        <v>1</v>
      </c>
      <c r="K31" s="95" t="s">
        <v>165</v>
      </c>
    </row>
    <row r="32" spans="1:12" s="94" customFormat="1" ht="31.5" thickBot="1" x14ac:dyDescent="0.4">
      <c r="A32" s="100">
        <v>7</v>
      </c>
      <c r="B32" s="99" t="s">
        <v>164</v>
      </c>
      <c r="C32" s="98" t="s">
        <v>163</v>
      </c>
      <c r="D32" s="98">
        <v>8</v>
      </c>
      <c r="E32" s="97">
        <v>2350</v>
      </c>
      <c r="F32" s="97">
        <f>E32*1.21</f>
        <v>2843.5</v>
      </c>
      <c r="G32" s="184">
        <f>F32*D32</f>
        <v>22748</v>
      </c>
      <c r="H32" s="101"/>
      <c r="I32" s="101">
        <f t="shared" si="5"/>
        <v>22748</v>
      </c>
      <c r="J32" s="96">
        <v>1</v>
      </c>
      <c r="K32" s="95" t="s">
        <v>162</v>
      </c>
    </row>
    <row r="33" spans="2:9" x14ac:dyDescent="0.35">
      <c r="B33" s="93" t="s">
        <v>75</v>
      </c>
      <c r="G33" s="92">
        <f>SUM(G28:G32)</f>
        <v>281083</v>
      </c>
      <c r="H33" s="92">
        <f>SUM(H28:H32)</f>
        <v>13915</v>
      </c>
      <c r="I33" s="92">
        <f>SUM(I28:I32)</f>
        <v>267168</v>
      </c>
    </row>
    <row r="35" spans="2:9" x14ac:dyDescent="0.35">
      <c r="B35" s="93" t="s">
        <v>75</v>
      </c>
      <c r="G35" s="92">
        <f>G26+G33</f>
        <v>1797196.06</v>
      </c>
      <c r="H35" s="92">
        <f t="shared" ref="H35:I35" si="6">H26+H33</f>
        <v>175420.96</v>
      </c>
      <c r="I35" s="92">
        <f t="shared" si="6"/>
        <v>1621775.1</v>
      </c>
    </row>
    <row r="40" spans="2:9" x14ac:dyDescent="0.35">
      <c r="H40" s="191"/>
    </row>
  </sheetData>
  <mergeCells count="2">
    <mergeCell ref="K5:K8"/>
    <mergeCell ref="H1:I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323ED-9226-4B93-9372-9F457C5E4CEF}">
  <dimension ref="B1:I17"/>
  <sheetViews>
    <sheetView workbookViewId="0">
      <selection activeCell="G8" sqref="G8"/>
    </sheetView>
  </sheetViews>
  <sheetFormatPr defaultColWidth="9.1796875" defaultRowHeight="14" x14ac:dyDescent="0.3"/>
  <cols>
    <col min="1" max="1" width="9.1796875" style="128"/>
    <col min="2" max="2" width="8" style="128" customWidth="1"/>
    <col min="3" max="3" width="39.7265625" style="128" customWidth="1"/>
    <col min="4" max="4" width="25" style="128" customWidth="1"/>
    <col min="5" max="5" width="8.81640625" style="128" customWidth="1"/>
    <col min="6" max="6" width="18.81640625" style="128" customWidth="1"/>
    <col min="7" max="7" width="19.1796875" style="128" customWidth="1"/>
    <col min="8" max="8" width="13.26953125" style="128" customWidth="1"/>
    <col min="9" max="9" width="17.54296875" style="128" customWidth="1"/>
    <col min="10" max="16384" width="9.1796875" style="128"/>
  </cols>
  <sheetData>
    <row r="1" spans="2:9" ht="105" customHeight="1" x14ac:dyDescent="0.3">
      <c r="H1" s="222" t="s">
        <v>357</v>
      </c>
      <c r="I1" s="222"/>
    </row>
    <row r="2" spans="2:9" ht="15" x14ac:dyDescent="0.3">
      <c r="B2" s="93" t="s">
        <v>224</v>
      </c>
    </row>
    <row r="3" spans="2:9" ht="15" customHeight="1" x14ac:dyDescent="0.3">
      <c r="F3" s="220" t="s">
        <v>311</v>
      </c>
      <c r="G3" s="220"/>
      <c r="H3" s="221" t="s">
        <v>312</v>
      </c>
      <c r="I3" s="221"/>
    </row>
    <row r="4" spans="2:9" s="142" customFormat="1" ht="45" x14ac:dyDescent="0.3">
      <c r="B4" s="144" t="s">
        <v>51</v>
      </c>
      <c r="C4" s="144" t="s">
        <v>223</v>
      </c>
      <c r="D4" s="144" t="s">
        <v>222</v>
      </c>
      <c r="E4" s="144" t="s">
        <v>46</v>
      </c>
      <c r="F4" s="143" t="s">
        <v>221</v>
      </c>
      <c r="G4" s="143" t="s">
        <v>220</v>
      </c>
      <c r="H4" s="143" t="s">
        <v>221</v>
      </c>
      <c r="I4" s="143" t="s">
        <v>220</v>
      </c>
    </row>
    <row r="5" spans="2:9" ht="28.5" customHeight="1" x14ac:dyDescent="0.3">
      <c r="B5" s="141">
        <v>1</v>
      </c>
      <c r="C5" s="137" t="s">
        <v>219</v>
      </c>
      <c r="D5" s="137" t="s">
        <v>218</v>
      </c>
      <c r="E5" s="140">
        <v>8</v>
      </c>
      <c r="F5" s="139">
        <v>7500</v>
      </c>
      <c r="G5" s="139">
        <f>E5*F5</f>
        <v>60000</v>
      </c>
      <c r="H5" s="178"/>
      <c r="I5" s="178"/>
    </row>
    <row r="6" spans="2:9" s="133" customFormat="1" ht="15.5" x14ac:dyDescent="0.3">
      <c r="B6" s="138">
        <v>2</v>
      </c>
      <c r="C6" s="136" t="s">
        <v>193</v>
      </c>
      <c r="D6" s="136" t="s">
        <v>217</v>
      </c>
      <c r="E6" s="136">
        <v>1</v>
      </c>
      <c r="F6" s="135"/>
      <c r="G6" s="134"/>
      <c r="H6" s="139">
        <v>21000</v>
      </c>
      <c r="I6" s="139">
        <f>E6*H6</f>
        <v>21000</v>
      </c>
    </row>
    <row r="7" spans="2:9" s="133" customFormat="1" ht="33.75" customHeight="1" x14ac:dyDescent="0.3">
      <c r="B7" s="138">
        <v>3</v>
      </c>
      <c r="C7" s="137" t="s">
        <v>216</v>
      </c>
      <c r="D7" s="136" t="s">
        <v>215</v>
      </c>
      <c r="E7" s="136">
        <v>1</v>
      </c>
      <c r="F7" s="135">
        <v>3000</v>
      </c>
      <c r="G7" s="134">
        <f>E7*F7</f>
        <v>3000</v>
      </c>
      <c r="H7" s="179"/>
      <c r="I7" s="179"/>
    </row>
    <row r="8" spans="2:9" s="130" customFormat="1" ht="15" x14ac:dyDescent="0.3">
      <c r="B8" s="132"/>
      <c r="C8" s="132" t="s">
        <v>4</v>
      </c>
      <c r="D8" s="132"/>
      <c r="E8" s="132"/>
      <c r="F8" s="132"/>
      <c r="G8" s="131">
        <f>SUM(G5:G7)</f>
        <v>63000</v>
      </c>
      <c r="H8" s="131"/>
      <c r="I8" s="131">
        <f t="shared" ref="I8" si="0">SUM(I5:I7)</f>
        <v>21000</v>
      </c>
    </row>
    <row r="16" spans="2:9" ht="18" x14ac:dyDescent="0.3">
      <c r="C16" s="129"/>
    </row>
    <row r="17" spans="3:3" ht="18" x14ac:dyDescent="0.3">
      <c r="C17" s="129"/>
    </row>
  </sheetData>
  <mergeCells count="3">
    <mergeCell ref="F3:G3"/>
    <mergeCell ref="H3:I3"/>
    <mergeCell ref="H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Kopsavilkums</vt:lpstr>
      <vt:lpstr>Būvdarbi_mebeles_Jugla</vt:lpstr>
      <vt:lpstr>IKT</vt:lpstr>
      <vt:lpstr>Med_tehn_Jugla</vt:lpstr>
      <vt:lpstr>Med_tehn_9k</vt:lpstr>
      <vt:lpstr>Med_teh_esosh_kap_celsh</vt:lpstr>
      <vt:lpstr>Aptieka_Jugla</vt:lpstr>
      <vt:lpstr>Jelgava</vt:lpstr>
      <vt:lpstr>Ziemelkurzeme</vt:lpstr>
      <vt:lpstr>Rēzekne</vt:lpstr>
      <vt:lpstr>PSKUS</vt:lpstr>
      <vt:lpstr>TOS</vt:lpstr>
      <vt:lpstr>Sheet1</vt:lpstr>
      <vt:lpstr>Kopsavilkums!Print_Area</vt:lpstr>
      <vt:lpstr>Med_teh_esosh_kap_celsh!Print_Titles</vt:lpstr>
      <vt:lpstr>Med_tehn_9k!Print_Titles</vt:lpstr>
      <vt:lpstr>Med_tehn_Jugla!Print_Titles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Kukuļinska</dc:creator>
  <cp:lastModifiedBy>Guna Jermacāne</cp:lastModifiedBy>
  <dcterms:created xsi:type="dcterms:W3CDTF">2021-10-15T04:49:37Z</dcterms:created>
  <dcterms:modified xsi:type="dcterms:W3CDTF">2021-10-20T07:51:09Z</dcterms:modified>
</cp:coreProperties>
</file>